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38400" windowHeight="18420" tabRatio="679" activeTab="1"/>
    <workbookView xWindow="0" yWindow="0" windowWidth="23040" windowHeight="9648" activeTab="2"/>
  </bookViews>
  <sheets>
    <sheet name="INFO and ASSUMPTIONS" sheetId="4" r:id="rId1"/>
    <sheet name="PROJECT SITE INFORMATION" sheetId="2" r:id="rId2"/>
    <sheet name="PROJECT DEMAND CALCULATOR" sheetId="1" r:id="rId3"/>
    <sheet name="Cost Comparison R1 " sheetId="11" r:id="rId4"/>
    <sheet name="Fees" sheetId="9" r:id="rId5"/>
  </sheets>
  <definedNames>
    <definedName name="Meter_Size" localSheetId="3">#REF!</definedName>
    <definedName name="Meter_Size">#REF!</definedName>
    <definedName name="Monthly_Minimum" localSheetId="3">#REF!</definedName>
    <definedName name="Monthly_Minimum">#REF!</definedName>
    <definedName name="_xlnm.Print_Area" localSheetId="2">'PROJECT DEMAND CALCULATOR'!$A$1:$F$65</definedName>
    <definedName name="_xlnm.Print_Area" localSheetId="1">'PROJECT SITE INFORMATION'!$A$1:$J$37</definedName>
  </definedNames>
  <calcPr calcId="162913"/>
</workbook>
</file>

<file path=xl/calcChain.xml><?xml version="1.0" encoding="utf-8"?>
<calcChain xmlns="http://schemas.openxmlformats.org/spreadsheetml/2006/main">
  <c r="G22" i="11" l="1"/>
  <c r="G23" i="11" s="1"/>
  <c r="G24" i="11" s="1"/>
  <c r="G17" i="11"/>
  <c r="G15" i="11"/>
  <c r="G14" i="11"/>
  <c r="B47" i="11"/>
  <c r="B48" i="11"/>
  <c r="B49" i="11"/>
  <c r="B50" i="11"/>
  <c r="B46" i="11"/>
  <c r="D38" i="11"/>
  <c r="F38" i="11"/>
  <c r="H38" i="11"/>
  <c r="H39" i="11" s="1"/>
  <c r="H40" i="11" s="1"/>
  <c r="H41" i="11" s="1"/>
  <c r="H42" i="11" s="1"/>
  <c r="G5" i="11"/>
  <c r="B38" i="11" s="1"/>
  <c r="F42" i="11"/>
  <c r="D42" i="11"/>
  <c r="F41" i="11"/>
  <c r="D41" i="11"/>
  <c r="F40" i="11"/>
  <c r="D40" i="11"/>
  <c r="F39" i="11"/>
  <c r="D39" i="11"/>
  <c r="H47" i="11"/>
  <c r="H46" i="11"/>
  <c r="E22" i="11" l="1"/>
  <c r="E23" i="11" s="1"/>
  <c r="E24" i="11" s="1"/>
  <c r="E15" i="11"/>
  <c r="G18" i="11"/>
  <c r="E16" i="11"/>
  <c r="E17" i="11"/>
  <c r="B42" i="11"/>
  <c r="B41" i="11"/>
  <c r="B40" i="11"/>
  <c r="B39" i="11"/>
  <c r="B17" i="2"/>
  <c r="B20" i="2"/>
  <c r="B19" i="2"/>
  <c r="B18" i="2"/>
  <c r="B16" i="2"/>
  <c r="B22" i="2"/>
  <c r="B4" i="1"/>
  <c r="B3" i="1"/>
  <c r="B15" i="2"/>
  <c r="B23" i="2"/>
  <c r="E14" i="11" l="1"/>
  <c r="E18" i="11" s="1"/>
  <c r="C26" i="1"/>
  <c r="E13" i="4" l="1"/>
  <c r="C13" i="4" s="1"/>
  <c r="D21" i="1" l="1"/>
  <c r="D20" i="1"/>
  <c r="D27" i="1" l="1"/>
  <c r="D28" i="1"/>
  <c r="D29" i="1"/>
  <c r="D30" i="1"/>
  <c r="D31" i="1"/>
  <c r="D32" i="1"/>
  <c r="D33" i="1"/>
  <c r="D34" i="1"/>
  <c r="D35" i="1"/>
  <c r="D36" i="1"/>
  <c r="D37" i="1"/>
  <c r="D38" i="1"/>
  <c r="D39" i="1"/>
  <c r="D40" i="1"/>
  <c r="D41" i="1"/>
  <c r="D42" i="1"/>
  <c r="D43" i="1"/>
  <c r="D44" i="1"/>
  <c r="D45" i="1"/>
  <c r="D46" i="1"/>
  <c r="D26" i="1"/>
  <c r="B49" i="1"/>
  <c r="B48" i="1"/>
  <c r="C49" i="1"/>
  <c r="C48" i="1"/>
  <c r="F48" i="1" s="1"/>
  <c r="F49" i="1" l="1"/>
  <c r="E11" i="1"/>
  <c r="C8" i="1" l="1"/>
  <c r="C14" i="4"/>
  <c r="C11" i="1" s="1"/>
  <c r="C9" i="1"/>
  <c r="D9" i="1" s="1"/>
  <c r="C28" i="1"/>
  <c r="B28" i="1" s="1"/>
  <c r="C44" i="1"/>
  <c r="F44" i="1" s="1"/>
  <c r="C46" i="1"/>
  <c r="F46" i="1" s="1"/>
  <c r="C45" i="1"/>
  <c r="F45" i="1" s="1"/>
  <c r="C43" i="1"/>
  <c r="F43" i="1" s="1"/>
  <c r="C42" i="1"/>
  <c r="F42" i="1" s="1"/>
  <c r="C41" i="1"/>
  <c r="C40" i="1"/>
  <c r="C39" i="1"/>
  <c r="C38" i="1"/>
  <c r="F38" i="1" s="1"/>
  <c r="B21" i="2"/>
  <c r="C37" i="1"/>
  <c r="F37" i="1" s="1"/>
  <c r="C36" i="1"/>
  <c r="C35" i="1"/>
  <c r="C31" i="1"/>
  <c r="F31" i="1" s="1"/>
  <c r="C30" i="1"/>
  <c r="F30" i="1" s="1"/>
  <c r="C29" i="1"/>
  <c r="B29" i="1" s="1"/>
  <c r="C27" i="1"/>
  <c r="B27" i="1" s="1"/>
  <c r="F26" i="1"/>
  <c r="C33" i="1"/>
  <c r="F33" i="1" s="1"/>
  <c r="C32" i="1"/>
  <c r="B32" i="1" s="1"/>
  <c r="C34" i="1"/>
  <c r="B34" i="1" s="1"/>
  <c r="B18" i="1"/>
  <c r="C12" i="1"/>
  <c r="B41" i="1" l="1"/>
  <c r="F41" i="1"/>
  <c r="B36" i="1"/>
  <c r="F36" i="1"/>
  <c r="B39" i="1"/>
  <c r="F39" i="1"/>
  <c r="B44" i="1"/>
  <c r="B35" i="1"/>
  <c r="F35" i="1"/>
  <c r="B40" i="1"/>
  <c r="F40" i="1"/>
  <c r="B37" i="1"/>
  <c r="B33" i="1"/>
  <c r="F34" i="1"/>
  <c r="F27" i="1"/>
  <c r="F32" i="1"/>
  <c r="F28" i="1"/>
  <c r="B31" i="1"/>
  <c r="B30" i="1"/>
  <c r="F29" i="1"/>
  <c r="B8" i="1"/>
  <c r="D8" i="1" s="1"/>
  <c r="B11" i="1"/>
  <c r="D12" i="1" l="1"/>
  <c r="D11" i="1" l="1"/>
  <c r="F11" i="1" s="1"/>
  <c r="E12" i="1"/>
  <c r="B20" i="1"/>
  <c r="C20" i="1" s="1"/>
  <c r="C18" i="1"/>
  <c r="F12" i="1" l="1"/>
  <c r="E13" i="1"/>
  <c r="C19" i="1"/>
  <c r="B21" i="1"/>
  <c r="C21" i="1" s="1"/>
  <c r="D13" i="1"/>
  <c r="F13" i="1" l="1"/>
  <c r="B26" i="1" l="1"/>
  <c r="B24" i="2" l="1"/>
  <c r="E8" i="1" l="1"/>
  <c r="F8" i="1" s="1"/>
  <c r="E6" i="2"/>
  <c r="E20" i="1"/>
  <c r="E9" i="1"/>
  <c r="B56" i="1"/>
  <c r="B11" i="2"/>
  <c r="F9" i="1" l="1"/>
  <c r="E10" i="1"/>
  <c r="E21" i="1"/>
  <c r="F21" i="1" s="1"/>
  <c r="F20" i="1"/>
  <c r="D10" i="1" s="1"/>
  <c r="F10" i="1" l="1"/>
  <c r="B22" i="1" s="1"/>
  <c r="A62" i="1" l="1"/>
  <c r="B53" i="1"/>
  <c r="A60" i="1"/>
  <c r="B38" i="1"/>
  <c r="B42" i="1"/>
  <c r="B43" i="1"/>
  <c r="B45" i="1"/>
  <c r="D56" i="1"/>
  <c r="F56" i="1" s="1"/>
  <c r="D60" i="1" s="1"/>
  <c r="B46" i="1"/>
  <c r="B50" i="1" l="1"/>
  <c r="C63" i="1" s="1"/>
  <c r="G7" i="11" s="1"/>
  <c r="E28" i="11" l="1"/>
  <c r="E29" i="11" s="1"/>
  <c r="E32" i="11" s="1"/>
  <c r="G28" i="11"/>
  <c r="G29" i="11" s="1"/>
  <c r="G32" i="11" s="1"/>
  <c r="C53" i="1"/>
  <c r="D53" i="1" s="1"/>
  <c r="F53" i="1" s="1"/>
  <c r="C60" i="1" s="1"/>
  <c r="B60" i="1"/>
  <c r="E60" i="1" s="1"/>
  <c r="G2" i="11" l="1"/>
  <c r="F60" i="1"/>
  <c r="F62" i="1" s="1"/>
</calcChain>
</file>

<file path=xl/sharedStrings.xml><?xml version="1.0" encoding="utf-8"?>
<sst xmlns="http://schemas.openxmlformats.org/spreadsheetml/2006/main" count="332" uniqueCount="219">
  <si>
    <t>Category</t>
  </si>
  <si>
    <t>PPHU</t>
  </si>
  <si>
    <t>No. HU (Lots)</t>
  </si>
  <si>
    <t>Non-Residential Usage</t>
  </si>
  <si>
    <t>Demand/HU/YR (af/yr)</t>
  </si>
  <si>
    <t>Demand Factor (af/ac)</t>
  </si>
  <si>
    <t>Distribution Losses</t>
  </si>
  <si>
    <t>Demand af/yr</t>
  </si>
  <si>
    <t>Residential</t>
  </si>
  <si>
    <t xml:space="preserve">Total </t>
  </si>
  <si>
    <t>Construction</t>
  </si>
  <si>
    <t>Total Demand Per Year</t>
  </si>
  <si>
    <t>Demand Factor (af/yr)</t>
  </si>
  <si>
    <t>Square Feet</t>
  </si>
  <si>
    <t>Acres</t>
  </si>
  <si>
    <t>Total Demand Per Year (af/yr)</t>
  </si>
  <si>
    <t>Total Residential Demand</t>
  </si>
  <si>
    <t>Loss Factor %</t>
  </si>
  <si>
    <t>No. of Lots</t>
  </si>
  <si>
    <t>Demand (gals/lot)</t>
  </si>
  <si>
    <t>100 yr demand (af)</t>
  </si>
  <si>
    <t>Non-Residential</t>
  </si>
  <si>
    <t>Total Non-Res</t>
  </si>
  <si>
    <t xml:space="preserve"> Non-Residential Demand (af/yr)</t>
  </si>
  <si>
    <t xml:space="preserve"> Distribution Losses (af/yr)</t>
  </si>
  <si>
    <t xml:space="preserve"> Construction Demand (af/yr)</t>
  </si>
  <si>
    <t xml:space="preserve"> Acres</t>
  </si>
  <si>
    <t xml:space="preserve">   Single Family (int)</t>
  </si>
  <si>
    <t xml:space="preserve">   Multi-Family   (int)</t>
  </si>
  <si>
    <t>low water use</t>
  </si>
  <si>
    <t>Common Area2</t>
  </si>
  <si>
    <t>Common Area1</t>
  </si>
  <si>
    <t>turf</t>
  </si>
  <si>
    <t xml:space="preserve">   Single Family Landscape (ext)</t>
  </si>
  <si>
    <t xml:space="preserve">   Multi-Family Landscape (ext)</t>
  </si>
  <si>
    <t>Average Lot Size  (sq. ft)**</t>
  </si>
  <si>
    <t>School Landscape1</t>
  </si>
  <si>
    <t>School Landscape2</t>
  </si>
  <si>
    <t>Large Lot Adjustment Demand/Yr (af/yr)</t>
  </si>
  <si>
    <t>Parks1</t>
  </si>
  <si>
    <t>Parks2</t>
  </si>
  <si>
    <t>Acres in Turf</t>
  </si>
  <si>
    <t>af/ac</t>
  </si>
  <si>
    <t>Acre feet per acre</t>
  </si>
  <si>
    <t>af/yr</t>
  </si>
  <si>
    <t>Acre feet per year</t>
  </si>
  <si>
    <t>ext</t>
  </si>
  <si>
    <t>Exterior</t>
  </si>
  <si>
    <t>gals</t>
  </si>
  <si>
    <t xml:space="preserve">Gallons </t>
  </si>
  <si>
    <t>GPCD</t>
  </si>
  <si>
    <t>Gallons per capita per day</t>
  </si>
  <si>
    <t>HU</t>
  </si>
  <si>
    <t>Housing units</t>
  </si>
  <si>
    <t>Demand/HU/YR</t>
  </si>
  <si>
    <t>Demand per housing unit per year</t>
  </si>
  <si>
    <t>int</t>
  </si>
  <si>
    <t>Interior</t>
  </si>
  <si>
    <t>Persons per housing unit</t>
  </si>
  <si>
    <t>Conversion factors</t>
  </si>
  <si>
    <t>1 acre-foot = 325,851 gallons</t>
  </si>
  <si>
    <t>1 acre = 43,560 square feet</t>
  </si>
  <si>
    <t>Residential Usage</t>
  </si>
  <si>
    <t>Number of students</t>
  </si>
  <si>
    <t>Middle/High School interior use</t>
  </si>
  <si>
    <t>LWU</t>
  </si>
  <si>
    <t>Low water use landscape</t>
  </si>
  <si>
    <t>NWU</t>
  </si>
  <si>
    <t>No water use (hardscape or unwatered native vegetation)</t>
  </si>
  <si>
    <t>Elementary school interior use</t>
  </si>
  <si>
    <t>Name of Proposed Project:</t>
  </si>
  <si>
    <t>Abbreviations and definitions</t>
  </si>
  <si>
    <t>Total Project Acres</t>
  </si>
  <si>
    <t>Total non-residential tract acres</t>
  </si>
  <si>
    <t>Number of golf course holes</t>
  </si>
  <si>
    <t>Total residential acres</t>
  </si>
  <si>
    <t>Right of way acres</t>
  </si>
  <si>
    <t>Commercial acres</t>
  </si>
  <si>
    <t>Golf course acres</t>
  </si>
  <si>
    <t>Common area acres</t>
  </si>
  <si>
    <t>Detention/Retention basin acres</t>
  </si>
  <si>
    <t>Park acres</t>
  </si>
  <si>
    <t>School acres</t>
  </si>
  <si>
    <t>Other non-residential acres</t>
  </si>
  <si>
    <t>version</t>
  </si>
  <si>
    <t>Date of demand calculations:</t>
  </si>
  <si>
    <t>PPHU (int) or Outdoor (ext) factor</t>
  </si>
  <si>
    <t>open water</t>
  </si>
  <si>
    <t>Golf Course1</t>
  </si>
  <si>
    <t>Golf Course2</t>
  </si>
  <si>
    <t>Golf Course3</t>
  </si>
  <si>
    <t>block plat</t>
  </si>
  <si>
    <t>final plat</t>
  </si>
  <si>
    <t>Acres with Surface Water</t>
  </si>
  <si>
    <t>Acres in Low Water Use</t>
  </si>
  <si>
    <t>Acres with No Water Use</t>
  </si>
  <si>
    <t>Date of application:</t>
  </si>
  <si>
    <t>Residential acres and dwellings</t>
  </si>
  <si>
    <t>Non-residential acres by rated water use</t>
  </si>
  <si>
    <t>Land use type</t>
  </si>
  <si>
    <t>Total Acreage</t>
  </si>
  <si>
    <t>Proposal status:</t>
  </si>
  <si>
    <t>Single Family</t>
  </si>
  <si>
    <t>Multi Family</t>
  </si>
  <si>
    <t>Common Area3</t>
  </si>
  <si>
    <t>Right of Way1</t>
  </si>
  <si>
    <t>Right of Way2</t>
  </si>
  <si>
    <t>Right of Way3</t>
  </si>
  <si>
    <t>Commercial use1</t>
  </si>
  <si>
    <t>Commercial use2</t>
  </si>
  <si>
    <t>Commercial use3</t>
  </si>
  <si>
    <t>Description of "Other non-residential":</t>
  </si>
  <si>
    <t>(af/yr)</t>
  </si>
  <si>
    <t>Public Pool</t>
  </si>
  <si>
    <t>Parks3</t>
  </si>
  <si>
    <t>Retention/Detention Basins2</t>
  </si>
  <si>
    <t>Retention/Detention Basins3</t>
  </si>
  <si>
    <t>School Landscape3</t>
  </si>
  <si>
    <t>exterior GPD</t>
  </si>
  <si>
    <t>GPCD (int) or GPD (ext)</t>
  </si>
  <si>
    <t>Water demand assumptions</t>
  </si>
  <si>
    <t xml:space="preserve"> Total Residential Demand/Yr (af/yr)</t>
  </si>
  <si>
    <t>SFR Annual Demand (total)</t>
  </si>
  <si>
    <t>MFR Annual Demand (total)</t>
  </si>
  <si>
    <t>Additional demand for large lots (&gt;10000 sqft) are calculated below. If the subdivision contains several groupings of lot sizes, the large lot adjustment needs to be calculated for each grouping</t>
  </si>
  <si>
    <t>of large lot sizes. Contact the Town for assistance in calculating the large lot adjustment for subdivisions with several groupings of large lot sizes or if CC&amp;Rs for residential landscaping will be adopted.</t>
  </si>
  <si>
    <t>Non-residential</t>
  </si>
  <si>
    <t>exterior adjustment factor</t>
  </si>
  <si>
    <t>annual use (af/ac)</t>
  </si>
  <si>
    <t>annual interior use (GPCD)</t>
  </si>
  <si>
    <t>GPD</t>
  </si>
  <si>
    <t>Gallons per day</t>
  </si>
  <si>
    <t>Public Pool acres</t>
  </si>
  <si>
    <t>Schools</t>
  </si>
  <si>
    <t>elementary</t>
  </si>
  <si>
    <t>middle and highschool</t>
  </si>
  <si>
    <t>Additional info for School Usage (int):</t>
  </si>
  <si>
    <t>Number of Elementary Students</t>
  </si>
  <si>
    <t>Number of Middle/HS Students</t>
  </si>
  <si>
    <t>application</t>
  </si>
  <si>
    <t>housing type</t>
  </si>
  <si>
    <t>Standard assumed values from this sheet and data from the "PROJECT SITE INFORMATION" sheet are used to calculate water demands for the proposed project on the "PROJECT DEMAND CALCULATOR" sheet.</t>
  </si>
  <si>
    <t>Single family acres</t>
  </si>
  <si>
    <t>Multi-family acres</t>
  </si>
  <si>
    <t>acres (total)</t>
  </si>
  <si>
    <t>residences per acre</t>
  </si>
  <si>
    <t>Lost &amp; Unaccounted for Water</t>
  </si>
  <si>
    <t>Potential Non-Potable? (Y/N)</t>
  </si>
  <si>
    <t>Y</t>
  </si>
  <si>
    <t>prelim plat</t>
  </si>
  <si>
    <t>Enter information from proposal to cells with blue highlighting on the "PROJECT SITE INFORMATION" sheet. Cells with yellow highlighting are calculated cells. Cells with green highlighting are standard assumed values, listed below.</t>
  </si>
  <si>
    <t>Distribution losses are automatically calculated using a loss factor of 7 percent.</t>
  </si>
  <si>
    <t>Construction demand is automatically calculated at 10,000 gallons per housing unit or per acre of commercial use and is prorated over 100 years to give an annual demand.</t>
  </si>
  <si>
    <t>If the average lot size is greater than 10,000 square feet, additional water demand is assumed. Calculator automatically assumes 1/2 area in excess of 10000 sqft will be low water use and 1/2 will be turf.</t>
  </si>
  <si>
    <t>Water Infrastructure IF</t>
  </si>
  <si>
    <t>Renewable Resource IF</t>
  </si>
  <si>
    <t>Meter Install Fee</t>
  </si>
  <si>
    <t>The factors and assumptions below were established through ADWR AMA Planning and/or Town Master Planning and should not be modified by the applicant without prior approval by the Town and CMID.</t>
  </si>
  <si>
    <t>Applicant instructions:</t>
  </si>
  <si>
    <t xml:space="preserve">This workbook is intended to assist compliance with Town of Marana Code Title 14 (Utilities), specifically 14-11-3 A.1., for applicants proposing subdivision plat or development plan. </t>
  </si>
  <si>
    <t>Submit completed workbook with proposal for plat or development plan.</t>
  </si>
  <si>
    <t>development plan</t>
  </si>
  <si>
    <t>If residences per acre is not provided on the plan or plat, explain how determined:</t>
  </si>
  <si>
    <t>Zoning minimum requirement, with acreage proposed for each zoning proportioned to total residential acreage.</t>
  </si>
  <si>
    <t>COST COMPARISON</t>
  </si>
  <si>
    <t>Airline/Lambert</t>
  </si>
  <si>
    <t>Hartman Vistas</t>
  </si>
  <si>
    <t>North Marana</t>
  </si>
  <si>
    <t>5/8"</t>
  </si>
  <si>
    <t>3/4"</t>
  </si>
  <si>
    <t>1"</t>
  </si>
  <si>
    <t>1.5"</t>
  </si>
  <si>
    <t>2"</t>
  </si>
  <si>
    <t>Monthly Minimum</t>
  </si>
  <si>
    <t>All Systems</t>
  </si>
  <si>
    <t>Column #</t>
  </si>
  <si>
    <t>Large Lot Adjustment (assume1/2 turf, 1/2 low water)</t>
  </si>
  <si>
    <t>X</t>
  </si>
  <si>
    <t>Non-Residential Irrigated and Turf</t>
  </si>
  <si>
    <t>Non-Residential Demand</t>
  </si>
  <si>
    <t>Size</t>
  </si>
  <si>
    <t xml:space="preserve">Water Infrastructure </t>
  </si>
  <si>
    <t>Renewable Resource</t>
  </si>
  <si>
    <t>Meter Install</t>
  </si>
  <si>
    <t>Marana Water Benefit Area</t>
  </si>
  <si>
    <t>Comprehensive Fee Schedule as of</t>
  </si>
  <si>
    <t>Base Rate (Monthly)</t>
  </si>
  <si>
    <t>Water Use Charge</t>
  </si>
  <si>
    <t>per 1,000 gallons</t>
  </si>
  <si>
    <t>Groundwater Resource Acquitision Fee</t>
  </si>
  <si>
    <t>Backflow Fee</t>
  </si>
  <si>
    <t>per meter</t>
  </si>
  <si>
    <t>Analysis Period (years)</t>
  </si>
  <si>
    <t>Marana Water Benefit Area:</t>
  </si>
  <si>
    <t>CMID</t>
  </si>
  <si>
    <t>Water Demand (Gallons per Year)</t>
  </si>
  <si>
    <t>Monthly Base Fee</t>
  </si>
  <si>
    <t xml:space="preserve">CMID </t>
  </si>
  <si>
    <t>MARANA WATER</t>
  </si>
  <si>
    <t>Sub-Total One-Time Fees</t>
  </si>
  <si>
    <t>Annual</t>
  </si>
  <si>
    <t>Monthly</t>
  </si>
  <si>
    <t>Analysis Period Sub-Total</t>
  </si>
  <si>
    <t>BASE MONTHLY FEES</t>
  </si>
  <si>
    <t>COMMODITY FEES</t>
  </si>
  <si>
    <t>Backflow</t>
  </si>
  <si>
    <t>COMMODITY-BASED FEES ($/1000 gallons)</t>
  </si>
  <si>
    <t>Groundwater Resource Acquisition Fee</t>
  </si>
  <si>
    <t>Water Use Charge (Irrigation)</t>
  </si>
  <si>
    <t>ONE TIME FEES</t>
  </si>
  <si>
    <t>TOTAL:</t>
  </si>
  <si>
    <t>FEE INFORMATION</t>
  </si>
  <si>
    <t>COST SAVINGS WITH CMID:</t>
  </si>
  <si>
    <t>Number of Irrigation meters</t>
  </si>
  <si>
    <r>
      <t xml:space="preserve">Residential Usage </t>
    </r>
    <r>
      <rPr>
        <b/>
        <sz val="10"/>
        <rFont val="Century Gothic"/>
        <family val="2"/>
      </rPr>
      <t>af/yr</t>
    </r>
  </si>
  <si>
    <r>
      <t xml:space="preserve">Residential Usage </t>
    </r>
    <r>
      <rPr>
        <b/>
        <sz val="10"/>
        <rFont val="Century Gothic"/>
        <family val="2"/>
      </rPr>
      <t>GPCD</t>
    </r>
  </si>
  <si>
    <r>
      <t>Total Demand</t>
    </r>
    <r>
      <rPr>
        <b/>
        <sz val="10"/>
        <rFont val="Century Gothic"/>
        <family val="2"/>
      </rPr>
      <t xml:space="preserve"> GPCD</t>
    </r>
  </si>
  <si>
    <t>Check</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</si>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</sst>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00"/>
    <numFmt numFmtId="165" formatCode="mmmm\ d\,\ yyyy"/>
    <numFmt numFmtId="166" formatCode="_(* #,##0_);_(* \(#,##0\);_(* &quot;-&quot;??_);_(@_)"/>
    <numFmt numFmtId="167" formatCode="&quot;$&quot;#,##0.00"/>
    <numFmt numFmtId="168" formatCode="mm/dd/yy;@"/>
    <numFmt numFmtId="169" formatCode="_(&quot;$&quot;* #,##0_);_(&quot;$&quot;* \(#,##0\);_(&quot;$&quot;* &quot;-&quot;??_);_(@_)"/>
    <numFmt numFmtId="170" formatCode="&quot;$&quot;#,##0"/>
  </numFmts>
  <fonts count="20" x14ac:knownFonts="1">
    <font>
      <sz val="10"/>
      <name val="Arial"/>
      <family val="2"/>
    </font>
    <font>
      <sz val="11"/>
      <color theme="1"/>
      <name val="Calibri"/>
      <family val="2"/>
      <scheme val="minor"/>
    </font>
    <font>
      <sz val="8"/>
      <name val="Arial"/>
      <family val="2"/>
    </font>
    <font>
      <sz val="10"/>
      <name val="Arial"/>
      <family val="2"/>
    </font>
    <font>
      <sz val="12"/>
      <name val="Century Gothic"/>
      <family val="2"/>
    </font>
    <font>
      <sz val="11"/>
      <color theme="1"/>
      <name val="Century Gothic"/>
      <family val="2"/>
    </font>
    <font>
      <sz val="10"/>
      <name val="Century Gothic"/>
      <family val="2"/>
    </font>
    <font>
      <b/>
      <sz val="11"/>
      <color theme="1"/>
      <name val="Century Gothic"/>
      <family val="2"/>
    </font>
    <font>
      <sz val="11"/>
      <name val="Century Gothic"/>
      <family val="2"/>
    </font>
    <font>
      <b/>
      <sz val="10"/>
      <name val="Century Gothic"/>
      <family val="2"/>
    </font>
    <font>
      <b/>
      <sz val="12"/>
      <name val="Century Gothic"/>
      <family val="2"/>
    </font>
    <font>
      <sz val="12"/>
      <color theme="1"/>
      <name val="Century Gothic"/>
      <family val="2"/>
    </font>
    <font>
      <b/>
      <sz val="14"/>
      <color theme="1"/>
      <name val="Century Gothic"/>
      <family val="2"/>
    </font>
    <font>
      <sz val="8"/>
      <name val="Century Gothic"/>
      <family val="2"/>
    </font>
    <font>
      <sz val="7"/>
      <name val="Century Gothic"/>
      <family val="2"/>
    </font>
    <font>
      <sz val="10"/>
      <color rgb="FFFF0000"/>
      <name val="Century Gothic"/>
      <family val="2"/>
    </font>
    <font>
      <b/>
      <u/>
      <sz val="12"/>
      <name val="Century Gothic"/>
      <family val="2"/>
    </font>
    <font>
      <i/>
      <sz val="10"/>
      <name val="Century Gothic"/>
      <family val="2"/>
    </font>
    <font>
      <i/>
      <sz val="10"/>
      <color rgb="FFFF0000"/>
      <name val="Century Gothic"/>
      <family val="2"/>
    </font>
    <font>
      <sz val="10"/>
      <color theme="0"/>
      <name val="Century Gothic"/>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6" tint="0.39997558519241921"/>
        <bgColor indexed="64"/>
      </patternFill>
    </fill>
    <fill>
      <patternFill patternType="solid">
        <fgColor rgb="FFFFFF99"/>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s>
  <cellStyleXfs count="5">
    <xf numFmtId="2" fontId="0" fillId="0" borderId="1"/>
    <xf numFmtId="44" fontId="3" fillId="0" borderId="0" applyFont="0" applyFill="0" applyBorder="0" applyAlignment="0" applyProtection="0"/>
    <xf numFmtId="43" fontId="3" fillId="0" borderId="0" applyFont="0" applyFill="0" applyBorder="0" applyAlignment="0" applyProtection="0"/>
    <xf numFmtId="0" fontId="1" fillId="0" borderId="0"/>
    <xf numFmtId="44" fontId="1" fillId="0" borderId="0" applyFont="0" applyFill="0" applyBorder="0" applyAlignment="0" applyProtection="0"/>
  </cellStyleXfs>
  <cellXfs count="227">
    <xf numFmtId="2" fontId="0" fillId="0" borderId="1" xfId="0"/>
    <xf numFmtId="49" fontId="6" fillId="0" borderId="0" xfId="0" applyNumberFormat="1" applyFont="1" applyFill="1" applyBorder="1" applyAlignment="1" applyProtection="1">
      <alignment horizontal="left" indent="2"/>
    </xf>
    <xf numFmtId="2" fontId="4" fillId="0" borderId="0" xfId="0" applyFont="1" applyBorder="1"/>
    <xf numFmtId="0" fontId="11" fillId="0" borderId="14" xfId="3" applyFont="1" applyBorder="1"/>
    <xf numFmtId="2" fontId="4" fillId="0" borderId="18" xfId="0" applyFont="1" applyBorder="1"/>
    <xf numFmtId="2" fontId="4" fillId="0" borderId="15" xfId="0" applyFont="1" applyBorder="1"/>
    <xf numFmtId="1" fontId="4" fillId="0" borderId="18" xfId="0" applyNumberFormat="1" applyFont="1" applyBorder="1"/>
    <xf numFmtId="1" fontId="4" fillId="0" borderId="15" xfId="0" applyNumberFormat="1" applyFont="1" applyBorder="1"/>
    <xf numFmtId="0" fontId="11" fillId="0" borderId="23" xfId="3" applyFont="1" applyBorder="1"/>
    <xf numFmtId="2" fontId="10" fillId="0" borderId="16" xfId="0" applyFont="1" applyBorder="1" applyAlignment="1">
      <alignment horizontal="right"/>
    </xf>
    <xf numFmtId="2" fontId="10" fillId="0" borderId="16" xfId="0" applyFont="1" applyFill="1" applyBorder="1" applyAlignment="1">
      <alignment horizontal="right"/>
    </xf>
    <xf numFmtId="2" fontId="10" fillId="0" borderId="17" xfId="0" applyFont="1" applyFill="1" applyBorder="1" applyAlignment="1">
      <alignment horizontal="right"/>
    </xf>
    <xf numFmtId="0" fontId="11" fillId="0" borderId="14" xfId="3" applyFont="1" applyBorder="1" applyAlignment="1">
      <alignment horizontal="right"/>
    </xf>
    <xf numFmtId="44" fontId="4" fillId="7" borderId="30" xfId="1" applyFont="1" applyFill="1" applyBorder="1"/>
    <xf numFmtId="44" fontId="4" fillId="7" borderId="31" xfId="1" applyFont="1" applyFill="1" applyBorder="1"/>
    <xf numFmtId="2" fontId="4" fillId="0" borderId="0" xfId="0" applyFont="1" applyBorder="1" applyAlignment="1">
      <alignment wrapText="1"/>
    </xf>
    <xf numFmtId="44" fontId="4" fillId="7" borderId="31" xfId="1" applyFont="1" applyFill="1" applyBorder="1" applyAlignment="1">
      <alignment horizontal="center"/>
    </xf>
    <xf numFmtId="169" fontId="4" fillId="7" borderId="30" xfId="1" applyNumberFormat="1" applyFont="1" applyFill="1" applyBorder="1"/>
    <xf numFmtId="169" fontId="4" fillId="7" borderId="31" xfId="1" applyNumberFormat="1" applyFont="1" applyFill="1" applyBorder="1"/>
    <xf numFmtId="1" fontId="8" fillId="3" borderId="30" xfId="0" applyNumberFormat="1" applyFont="1" applyFill="1" applyBorder="1" applyAlignment="1" applyProtection="1">
      <alignment horizontal="center"/>
      <protection locked="0"/>
    </xf>
    <xf numFmtId="1" fontId="8" fillId="3" borderId="31" xfId="0" applyNumberFormat="1" applyFont="1" applyFill="1" applyBorder="1" applyAlignment="1" applyProtection="1">
      <alignment horizontal="center"/>
      <protection locked="0"/>
    </xf>
    <xf numFmtId="2" fontId="10" fillId="0" borderId="0" xfId="0" applyFont="1" applyBorder="1" applyAlignment="1">
      <alignment horizontal="right"/>
    </xf>
    <xf numFmtId="2" fontId="10" fillId="0" borderId="29" xfId="0" applyFont="1" applyBorder="1" applyAlignment="1">
      <alignment horizontal="right"/>
    </xf>
    <xf numFmtId="165" fontId="6" fillId="0" borderId="0" xfId="0" applyNumberFormat="1" applyFont="1" applyBorder="1" applyAlignment="1" applyProtection="1">
      <alignment horizontal="left"/>
      <protection locked="0"/>
    </xf>
    <xf numFmtId="2" fontId="6" fillId="0" borderId="0" xfId="0" applyFont="1" applyBorder="1" applyProtection="1">
      <protection locked="0"/>
    </xf>
    <xf numFmtId="2" fontId="10" fillId="0" borderId="0" xfId="0" applyFont="1" applyBorder="1" applyAlignment="1" applyProtection="1">
      <alignment horizontal="center"/>
      <protection locked="0"/>
    </xf>
    <xf numFmtId="2" fontId="6" fillId="0" borderId="0" xfId="0" applyFont="1" applyBorder="1"/>
    <xf numFmtId="2" fontId="9" fillId="0" borderId="0" xfId="0" applyFont="1" applyBorder="1" applyProtection="1">
      <protection locked="0"/>
    </xf>
    <xf numFmtId="2" fontId="6" fillId="8" borderId="2" xfId="0" applyNumberFormat="1" applyFont="1" applyFill="1" applyBorder="1" applyAlignment="1" applyProtection="1">
      <alignment horizontal="left" indent="2"/>
      <protection locked="0"/>
    </xf>
    <xf numFmtId="2" fontId="6" fillId="8" borderId="3" xfId="0" applyNumberFormat="1" applyFont="1" applyFill="1" applyBorder="1" applyAlignment="1" applyProtection="1">
      <alignment horizontal="left" indent="2"/>
      <protection locked="0"/>
    </xf>
    <xf numFmtId="2" fontId="6" fillId="8" borderId="4" xfId="0" applyNumberFormat="1" applyFont="1" applyFill="1" applyBorder="1" applyAlignment="1" applyProtection="1">
      <alignment horizontal="left" indent="2"/>
      <protection locked="0"/>
    </xf>
    <xf numFmtId="165" fontId="6" fillId="0" borderId="0" xfId="0" applyNumberFormat="1" applyFont="1" applyFill="1" applyBorder="1" applyAlignment="1" applyProtection="1">
      <alignment horizontal="left"/>
      <protection locked="0"/>
    </xf>
    <xf numFmtId="14" fontId="6" fillId="8" borderId="1" xfId="0" applyNumberFormat="1" applyFont="1" applyFill="1" applyBorder="1" applyAlignment="1" applyProtection="1">
      <alignment horizontal="left" indent="2"/>
      <protection locked="0"/>
    </xf>
    <xf numFmtId="2" fontId="9" fillId="0" borderId="0" xfId="0" applyFont="1" applyFill="1" applyBorder="1" applyAlignment="1" applyProtection="1">
      <alignment horizontal="center"/>
      <protection locked="0"/>
    </xf>
    <xf numFmtId="2" fontId="6" fillId="0" borderId="0" xfId="0" applyFont="1" applyFill="1" applyBorder="1" applyProtection="1">
      <protection locked="0"/>
    </xf>
    <xf numFmtId="2" fontId="6" fillId="0" borderId="0" xfId="0" quotePrefix="1" applyFont="1" applyBorder="1" applyProtection="1">
      <protection locked="0"/>
    </xf>
    <xf numFmtId="2" fontId="10" fillId="0" borderId="0" xfId="0" applyFont="1" applyFill="1" applyBorder="1" applyProtection="1">
      <protection locked="0"/>
    </xf>
    <xf numFmtId="2" fontId="6" fillId="4" borderId="1" xfId="0" applyFont="1" applyFill="1" applyBorder="1" applyProtection="1">
      <protection locked="0"/>
    </xf>
    <xf numFmtId="2" fontId="6" fillId="4" borderId="1" xfId="0" applyFont="1" applyFill="1" applyBorder="1" applyAlignment="1" applyProtection="1">
      <alignment horizontal="center" wrapText="1"/>
      <protection locked="0"/>
    </xf>
    <xf numFmtId="2" fontId="6" fillId="0" borderId="1" xfId="0" applyFont="1" applyBorder="1" applyProtection="1">
      <protection locked="0"/>
    </xf>
    <xf numFmtId="2" fontId="6" fillId="7" borderId="1" xfId="0" applyFont="1" applyFill="1" applyBorder="1" applyAlignment="1" applyProtection="1">
      <alignment horizontal="right"/>
    </xf>
    <xf numFmtId="2" fontId="6" fillId="8" borderId="1" xfId="0" applyFont="1" applyFill="1" applyBorder="1" applyProtection="1">
      <protection locked="0"/>
    </xf>
    <xf numFmtId="2" fontId="6" fillId="0" borderId="0" xfId="0" applyFont="1" applyBorder="1" applyAlignment="1" applyProtection="1">
      <alignment horizontal="right"/>
    </xf>
    <xf numFmtId="2" fontId="9" fillId="0" borderId="1" xfId="0" applyFont="1" applyBorder="1" applyProtection="1">
      <protection locked="0"/>
    </xf>
    <xf numFmtId="2" fontId="9" fillId="0" borderId="1" xfId="0" applyFont="1" applyBorder="1" applyAlignment="1" applyProtection="1">
      <alignment horizontal="right"/>
    </xf>
    <xf numFmtId="2" fontId="9" fillId="8" borderId="1" xfId="0" applyFont="1" applyFill="1" applyBorder="1" applyProtection="1">
      <protection locked="0"/>
    </xf>
    <xf numFmtId="2" fontId="6" fillId="4" borderId="1" xfId="0" applyFont="1" applyFill="1" applyBorder="1" applyAlignment="1" applyProtection="1">
      <alignment wrapText="1"/>
      <protection locked="0"/>
    </xf>
    <xf numFmtId="2" fontId="6" fillId="8" borderId="9" xfId="0" applyFont="1" applyFill="1" applyBorder="1" applyProtection="1">
      <protection locked="0"/>
    </xf>
    <xf numFmtId="2" fontId="6" fillId="0" borderId="1" xfId="0" applyFont="1" applyBorder="1" applyAlignment="1" applyProtection="1">
      <alignment wrapText="1"/>
      <protection locked="0"/>
    </xf>
    <xf numFmtId="2" fontId="6" fillId="0" borderId="0" xfId="0" applyFont="1" applyBorder="1" applyAlignment="1" applyProtection="1">
      <alignment horizontal="center"/>
      <protection locked="0"/>
    </xf>
    <xf numFmtId="2" fontId="6" fillId="7" borderId="1" xfId="0" applyFont="1" applyFill="1" applyBorder="1" applyProtection="1">
      <protection locked="0"/>
    </xf>
    <xf numFmtId="2" fontId="10" fillId="0" borderId="0" xfId="0" applyFont="1" applyBorder="1" applyProtection="1">
      <protection locked="0"/>
    </xf>
    <xf numFmtId="2" fontId="10" fillId="0" borderId="0" xfId="0" applyNumberFormat="1" applyFont="1" applyBorder="1" applyProtection="1">
      <protection locked="0"/>
    </xf>
    <xf numFmtId="2" fontId="6" fillId="0" borderId="0" xfId="0" applyFont="1" applyBorder="1" applyAlignment="1" applyProtection="1">
      <alignment horizontal="right"/>
      <protection locked="0"/>
    </xf>
    <xf numFmtId="2" fontId="6" fillId="4" borderId="2" xfId="0" applyFont="1" applyFill="1" applyBorder="1" applyAlignment="1" applyProtection="1">
      <alignment horizontal="center" wrapText="1"/>
      <protection locked="0"/>
    </xf>
    <xf numFmtId="166" fontId="6" fillId="8" borderId="1" xfId="2" applyNumberFormat="1" applyFont="1" applyFill="1" applyBorder="1" applyProtection="1">
      <protection locked="0"/>
    </xf>
    <xf numFmtId="2" fontId="6" fillId="0" borderId="2" xfId="0" applyFont="1" applyBorder="1" applyAlignment="1" applyProtection="1">
      <alignment horizontal="center"/>
      <protection locked="0"/>
    </xf>
    <xf numFmtId="2" fontId="6" fillId="0" borderId="1" xfId="0" applyFont="1" applyBorder="1" applyAlignment="1" applyProtection="1">
      <alignment horizontal="center"/>
      <protection locked="0"/>
    </xf>
    <xf numFmtId="2" fontId="6" fillId="8" borderId="2" xfId="0" applyFont="1" applyFill="1" applyBorder="1" applyProtection="1">
      <protection locked="0"/>
    </xf>
    <xf numFmtId="2" fontId="6" fillId="2" borderId="1" xfId="0" applyFont="1" applyFill="1" applyBorder="1" applyProtection="1">
      <protection locked="0"/>
    </xf>
    <xf numFmtId="2" fontId="6" fillId="9" borderId="1" xfId="0" applyFont="1" applyFill="1" applyBorder="1" applyAlignment="1" applyProtection="1">
      <alignment horizontal="center" wrapText="1"/>
      <protection locked="0"/>
    </xf>
    <xf numFmtId="2" fontId="6" fillId="0" borderId="1" xfId="0" applyFont="1" applyFill="1" applyBorder="1" applyProtection="1">
      <protection locked="0"/>
    </xf>
    <xf numFmtId="2" fontId="9" fillId="0" borderId="1" xfId="0" applyNumberFormat="1" applyFont="1" applyBorder="1" applyProtection="1">
      <protection locked="0"/>
    </xf>
    <xf numFmtId="2" fontId="6" fillId="2" borderId="1" xfId="0" applyFont="1" applyFill="1" applyBorder="1" applyAlignment="1" applyProtection="1">
      <alignment wrapText="1"/>
      <protection locked="0"/>
    </xf>
    <xf numFmtId="2" fontId="6" fillId="2" borderId="1" xfId="0" applyFont="1" applyFill="1" applyBorder="1" applyAlignment="1" applyProtection="1">
      <alignment horizontal="right" wrapText="1"/>
      <protection locked="0"/>
    </xf>
    <xf numFmtId="2" fontId="6" fillId="2" borderId="1" xfId="0" applyFont="1" applyFill="1" applyBorder="1" applyAlignment="1" applyProtection="1">
      <alignment horizontal="center" wrapText="1"/>
      <protection locked="0"/>
    </xf>
    <xf numFmtId="2" fontId="9" fillId="2" borderId="1" xfId="0" applyFont="1" applyFill="1" applyBorder="1" applyAlignment="1" applyProtection="1">
      <alignment horizontal="center" wrapText="1"/>
      <protection locked="0"/>
    </xf>
    <xf numFmtId="1" fontId="9" fillId="0" borderId="1" xfId="0" applyNumberFormat="1" applyFont="1" applyBorder="1" applyProtection="1">
      <protection locked="0"/>
    </xf>
    <xf numFmtId="2" fontId="6" fillId="2" borderId="6" xfId="0" applyFont="1" applyFill="1" applyBorder="1" applyAlignment="1" applyProtection="1">
      <alignment horizontal="left"/>
      <protection locked="0"/>
    </xf>
    <xf numFmtId="2" fontId="6" fillId="2" borderId="5" xfId="0" applyFont="1" applyFill="1" applyBorder="1" applyAlignment="1" applyProtection="1">
      <alignment horizontal="left"/>
      <protection locked="0"/>
    </xf>
    <xf numFmtId="44" fontId="9" fillId="0" borderId="0" xfId="1" applyFont="1" applyBorder="1" applyProtection="1">
      <protection locked="0"/>
    </xf>
    <xf numFmtId="2" fontId="9" fillId="5" borderId="7" xfId="0" applyFont="1" applyFill="1" applyBorder="1" applyProtection="1">
      <protection locked="0"/>
    </xf>
    <xf numFmtId="2" fontId="6" fillId="5" borderId="8" xfId="0" applyFont="1" applyFill="1" applyBorder="1" applyProtection="1">
      <protection locked="0"/>
    </xf>
    <xf numFmtId="164" fontId="6" fillId="0" borderId="0" xfId="0" applyNumberFormat="1" applyFont="1" applyBorder="1" applyProtection="1">
      <protection locked="0"/>
    </xf>
    <xf numFmtId="0" fontId="5" fillId="0" borderId="0" xfId="3" applyFont="1" applyBorder="1" applyProtection="1"/>
    <xf numFmtId="0" fontId="5" fillId="0" borderId="0" xfId="3" applyFont="1" applyFill="1" applyBorder="1" applyProtection="1"/>
    <xf numFmtId="0" fontId="7" fillId="0" borderId="24" xfId="3" applyFont="1" applyBorder="1" applyAlignment="1" applyProtection="1">
      <alignment horizontal="center"/>
    </xf>
    <xf numFmtId="0" fontId="7" fillId="0" borderId="26" xfId="3" applyFont="1" applyBorder="1" applyAlignment="1" applyProtection="1">
      <alignment horizontal="center" wrapText="1"/>
    </xf>
    <xf numFmtId="0" fontId="12" fillId="0" borderId="14" xfId="3" applyFont="1" applyBorder="1" applyAlignment="1" applyProtection="1">
      <alignment horizontal="center" vertical="center"/>
    </xf>
    <xf numFmtId="0" fontId="12" fillId="0" borderId="18" xfId="3" applyFont="1" applyBorder="1" applyAlignment="1" applyProtection="1">
      <alignment horizontal="center" vertical="center"/>
    </xf>
    <xf numFmtId="167" fontId="12" fillId="8" borderId="15" xfId="3" applyNumberFormat="1" applyFont="1" applyFill="1" applyBorder="1" applyAlignment="1" applyProtection="1">
      <alignment horizontal="center" vertical="center"/>
    </xf>
    <xf numFmtId="0" fontId="5" fillId="0" borderId="32" xfId="3" applyFont="1" applyBorder="1" applyAlignment="1" applyProtection="1">
      <alignment horizontal="center"/>
    </xf>
    <xf numFmtId="0" fontId="7" fillId="0" borderId="0" xfId="3" applyFont="1" applyBorder="1" applyAlignment="1" applyProtection="1"/>
    <xf numFmtId="0" fontId="5" fillId="0" borderId="0" xfId="3" applyFont="1" applyBorder="1" applyAlignment="1" applyProtection="1">
      <alignment horizontal="right"/>
    </xf>
    <xf numFmtId="1" fontId="8" fillId="7" borderId="0" xfId="0" applyNumberFormat="1" applyFont="1" applyFill="1" applyBorder="1" applyAlignment="1" applyProtection="1">
      <alignment horizontal="center"/>
    </xf>
    <xf numFmtId="2" fontId="5" fillId="0" borderId="36" xfId="3" applyNumberFormat="1" applyFont="1" applyBorder="1" applyAlignment="1" applyProtection="1">
      <alignment horizontal="center"/>
    </xf>
    <xf numFmtId="0" fontId="7" fillId="0" borderId="0" xfId="3" applyFont="1" applyBorder="1" applyAlignment="1" applyProtection="1">
      <alignment horizontal="center"/>
    </xf>
    <xf numFmtId="0" fontId="12" fillId="0" borderId="0" xfId="3" applyFont="1" applyBorder="1" applyAlignment="1" applyProtection="1">
      <alignment horizontal="center" vertical="center"/>
    </xf>
    <xf numFmtId="0" fontId="12" fillId="0" borderId="22" xfId="3" applyFont="1" applyBorder="1" applyAlignment="1" applyProtection="1">
      <alignment horizontal="center" vertical="center"/>
    </xf>
    <xf numFmtId="0" fontId="7" fillId="0" borderId="24" xfId="3" applyFont="1" applyBorder="1" applyAlignment="1" applyProtection="1">
      <alignment horizontal="center"/>
    </xf>
    <xf numFmtId="0" fontId="7" fillId="0" borderId="25" xfId="3" applyFont="1" applyBorder="1" applyAlignment="1" applyProtection="1">
      <alignment horizontal="center"/>
    </xf>
    <xf numFmtId="0" fontId="7" fillId="0" borderId="26" xfId="3" applyFont="1" applyBorder="1" applyAlignment="1" applyProtection="1">
      <alignment horizontal="center"/>
    </xf>
    <xf numFmtId="0" fontId="5" fillId="0" borderId="16" xfId="3" applyFont="1" applyBorder="1" applyProtection="1"/>
    <xf numFmtId="0" fontId="5" fillId="0" borderId="0" xfId="3" applyFont="1" applyBorder="1" applyAlignment="1" applyProtection="1">
      <alignment horizontal="center"/>
    </xf>
    <xf numFmtId="0" fontId="5" fillId="0" borderId="27" xfId="3" applyFont="1" applyBorder="1" applyAlignment="1" applyProtection="1">
      <alignment horizontal="center"/>
    </xf>
    <xf numFmtId="0" fontId="5" fillId="0" borderId="34" xfId="3" applyFont="1" applyBorder="1" applyAlignment="1" applyProtection="1">
      <alignment horizontal="right" wrapText="1"/>
    </xf>
    <xf numFmtId="0" fontId="5" fillId="0" borderId="12" xfId="3" applyFont="1" applyBorder="1" applyAlignment="1" applyProtection="1">
      <alignment horizontal="right" wrapText="1"/>
    </xf>
    <xf numFmtId="0" fontId="5" fillId="0" borderId="16" xfId="3" applyFont="1" applyBorder="1" applyAlignment="1" applyProtection="1">
      <alignment horizontal="right" wrapText="1"/>
    </xf>
    <xf numFmtId="0" fontId="5" fillId="0" borderId="0" xfId="3" applyFont="1" applyBorder="1" applyAlignment="1" applyProtection="1">
      <alignment horizontal="right" wrapText="1"/>
    </xf>
    <xf numFmtId="0" fontId="5" fillId="0" borderId="16" xfId="3" applyFont="1" applyBorder="1" applyAlignment="1" applyProtection="1">
      <alignment horizontal="right"/>
    </xf>
    <xf numFmtId="0" fontId="5" fillId="0" borderId="17" xfId="3" applyFont="1" applyBorder="1" applyAlignment="1" applyProtection="1">
      <alignment horizontal="right"/>
    </xf>
    <xf numFmtId="0" fontId="5" fillId="0" borderId="22" xfId="3" applyFont="1" applyBorder="1" applyAlignment="1" applyProtection="1">
      <alignment horizontal="right"/>
    </xf>
    <xf numFmtId="0" fontId="7" fillId="0" borderId="16" xfId="3" applyFont="1" applyBorder="1" applyAlignment="1" applyProtection="1">
      <alignment horizontal="right"/>
    </xf>
    <xf numFmtId="0" fontId="7" fillId="0" borderId="0" xfId="3" applyFont="1" applyBorder="1" applyAlignment="1" applyProtection="1">
      <alignment horizontal="right"/>
    </xf>
    <xf numFmtId="0" fontId="5" fillId="0" borderId="27" xfId="3" applyFont="1" applyBorder="1" applyProtection="1"/>
    <xf numFmtId="0" fontId="7" fillId="0" borderId="16" xfId="3" applyFont="1" applyBorder="1" applyAlignment="1" applyProtection="1">
      <alignment horizontal="center"/>
    </xf>
    <xf numFmtId="0" fontId="7" fillId="0" borderId="27" xfId="3" applyFont="1" applyBorder="1" applyAlignment="1" applyProtection="1">
      <alignment horizontal="center"/>
    </xf>
    <xf numFmtId="0" fontId="7" fillId="0" borderId="16" xfId="3" applyFont="1" applyBorder="1" applyAlignment="1" applyProtection="1">
      <alignment horizontal="center"/>
    </xf>
    <xf numFmtId="0" fontId="7" fillId="0" borderId="0" xfId="3" applyFont="1" applyBorder="1" applyAlignment="1" applyProtection="1">
      <alignment horizontal="center"/>
    </xf>
    <xf numFmtId="0" fontId="5" fillId="0" borderId="34" xfId="3" applyFont="1" applyBorder="1" applyProtection="1"/>
    <xf numFmtId="0" fontId="5" fillId="0" borderId="12" xfId="3" applyFont="1" applyBorder="1" applyAlignment="1" applyProtection="1">
      <alignment horizontal="right"/>
    </xf>
    <xf numFmtId="44" fontId="5" fillId="0" borderId="0" xfId="1" applyFont="1" applyFill="1" applyBorder="1" applyProtection="1"/>
    <xf numFmtId="0" fontId="5" fillId="0" borderId="17" xfId="3" applyFont="1" applyBorder="1" applyProtection="1"/>
    <xf numFmtId="0" fontId="5" fillId="0" borderId="22" xfId="3" applyFont="1" applyBorder="1" applyAlignment="1" applyProtection="1">
      <alignment horizontal="right"/>
    </xf>
    <xf numFmtId="0" fontId="5" fillId="0" borderId="33" xfId="3" applyFont="1" applyBorder="1" applyProtection="1"/>
    <xf numFmtId="0" fontId="5" fillId="0" borderId="21" xfId="3" applyFont="1" applyBorder="1" applyAlignment="1" applyProtection="1"/>
    <xf numFmtId="0" fontId="5" fillId="0" borderId="0" xfId="3" applyFont="1" applyFill="1" applyBorder="1" applyAlignment="1" applyProtection="1">
      <alignment vertical="center"/>
    </xf>
    <xf numFmtId="0" fontId="5" fillId="0" borderId="0" xfId="3" applyFont="1" applyFill="1" applyBorder="1" applyAlignment="1" applyProtection="1">
      <alignment horizontal="right"/>
    </xf>
    <xf numFmtId="0" fontId="7" fillId="0" borderId="17" xfId="3" applyFont="1" applyBorder="1" applyAlignment="1" applyProtection="1">
      <alignment horizontal="right"/>
    </xf>
    <xf numFmtId="0" fontId="7" fillId="0" borderId="22" xfId="3" applyFont="1" applyBorder="1" applyAlignment="1" applyProtection="1">
      <alignment horizontal="right"/>
    </xf>
    <xf numFmtId="0" fontId="7" fillId="0" borderId="0" xfId="3" applyFont="1" applyFill="1" applyBorder="1" applyProtection="1"/>
    <xf numFmtId="0" fontId="7" fillId="0" borderId="22" xfId="3" applyFont="1" applyBorder="1" applyAlignment="1" applyProtection="1">
      <alignment horizontal="center"/>
    </xf>
    <xf numFmtId="0" fontId="7" fillId="0" borderId="24" xfId="3" applyFont="1" applyBorder="1" applyAlignment="1" applyProtection="1">
      <alignment horizontal="center" wrapText="1"/>
    </xf>
    <xf numFmtId="0" fontId="7" fillId="0" borderId="26" xfId="3" applyFont="1" applyBorder="1" applyAlignment="1" applyProtection="1">
      <alignment horizontal="center" wrapText="1"/>
    </xf>
    <xf numFmtId="0" fontId="5" fillId="0" borderId="16" xfId="3" applyFont="1" applyBorder="1" applyAlignment="1" applyProtection="1">
      <alignment horizontal="center" wrapText="1"/>
    </xf>
    <xf numFmtId="0" fontId="5" fillId="0" borderId="19" xfId="3" applyFont="1" applyBorder="1" applyAlignment="1" applyProtection="1">
      <alignment horizontal="center"/>
    </xf>
    <xf numFmtId="0" fontId="5" fillId="0" borderId="0" xfId="3" applyFont="1" applyBorder="1" applyAlignment="1" applyProtection="1">
      <alignment horizontal="center"/>
    </xf>
    <xf numFmtId="170" fontId="6" fillId="7" borderId="16" xfId="1" applyNumberFormat="1" applyFont="1" applyFill="1" applyBorder="1" applyAlignment="1" applyProtection="1">
      <alignment horizontal="center"/>
    </xf>
    <xf numFmtId="170" fontId="6" fillId="7" borderId="19" xfId="1" applyNumberFormat="1" applyFont="1" applyFill="1" applyBorder="1" applyAlignment="1" applyProtection="1">
      <alignment horizontal="center"/>
    </xf>
    <xf numFmtId="2" fontId="5" fillId="0" borderId="0" xfId="3" applyNumberFormat="1" applyFont="1" applyBorder="1" applyAlignment="1" applyProtection="1">
      <alignment horizontal="center"/>
    </xf>
    <xf numFmtId="170" fontId="6" fillId="7" borderId="17" xfId="1" applyNumberFormat="1" applyFont="1" applyFill="1" applyBorder="1" applyAlignment="1" applyProtection="1">
      <alignment horizontal="center"/>
    </xf>
    <xf numFmtId="170" fontId="6" fillId="7" borderId="20" xfId="1" applyNumberFormat="1" applyFont="1" applyFill="1" applyBorder="1" applyAlignment="1" applyProtection="1">
      <alignment horizontal="center"/>
    </xf>
    <xf numFmtId="0" fontId="5" fillId="0" borderId="24" xfId="3" applyFont="1" applyBorder="1" applyAlignment="1" applyProtection="1">
      <alignment horizontal="center" wrapText="1"/>
    </xf>
    <xf numFmtId="0" fontId="5" fillId="0" borderId="26" xfId="3" applyFont="1" applyBorder="1" applyAlignment="1" applyProtection="1">
      <alignment horizontal="center" wrapText="1"/>
    </xf>
    <xf numFmtId="0" fontId="5" fillId="0" borderId="0" xfId="3" applyFont="1" applyBorder="1" applyAlignment="1" applyProtection="1">
      <alignment wrapText="1"/>
    </xf>
    <xf numFmtId="44" fontId="6" fillId="7" borderId="16" xfId="1" applyFont="1" applyFill="1" applyBorder="1" applyProtection="1"/>
    <xf numFmtId="167" fontId="6" fillId="7" borderId="16" xfId="1" applyNumberFormat="1" applyFont="1" applyFill="1" applyBorder="1" applyAlignment="1" applyProtection="1">
      <alignment horizontal="center"/>
    </xf>
    <xf numFmtId="167" fontId="6" fillId="7" borderId="19" xfId="1" applyNumberFormat="1" applyFont="1" applyFill="1" applyBorder="1" applyAlignment="1" applyProtection="1">
      <alignment horizontal="center"/>
    </xf>
    <xf numFmtId="167" fontId="6" fillId="7" borderId="17" xfId="1" applyNumberFormat="1" applyFont="1" applyFill="1" applyBorder="1" applyAlignment="1" applyProtection="1">
      <alignment horizontal="center"/>
    </xf>
    <xf numFmtId="167" fontId="6" fillId="7" borderId="20" xfId="1" applyNumberFormat="1" applyFont="1" applyFill="1" applyBorder="1" applyAlignment="1" applyProtection="1">
      <alignment horizontal="center"/>
    </xf>
    <xf numFmtId="0" fontId="5" fillId="0" borderId="0" xfId="3" applyFont="1" applyBorder="1" applyAlignment="1" applyProtection="1">
      <alignment horizontal="center" wrapText="1"/>
    </xf>
    <xf numFmtId="44" fontId="6" fillId="7" borderId="17" xfId="1" applyFont="1" applyFill="1" applyBorder="1" applyProtection="1"/>
    <xf numFmtId="14" fontId="6" fillId="0" borderId="0" xfId="0" applyNumberFormat="1" applyFont="1" applyFill="1" applyBorder="1" applyAlignment="1" applyProtection="1">
      <alignment horizontal="left" indent="2"/>
    </xf>
    <xf numFmtId="2" fontId="8" fillId="0" borderId="0" xfId="0" applyFont="1" applyBorder="1" applyAlignment="1" applyProtection="1">
      <alignment horizontal="right"/>
    </xf>
    <xf numFmtId="166" fontId="8" fillId="8" borderId="0" xfId="2" applyNumberFormat="1" applyFont="1" applyFill="1" applyBorder="1" applyProtection="1"/>
    <xf numFmtId="167" fontId="6" fillId="8" borderId="12" xfId="1" applyNumberFormat="1" applyFont="1" applyFill="1" applyBorder="1" applyAlignment="1" applyProtection="1">
      <alignment horizontal="center"/>
    </xf>
    <xf numFmtId="44" fontId="6" fillId="8" borderId="12" xfId="1" applyFont="1" applyFill="1" applyBorder="1" applyAlignment="1" applyProtection="1">
      <alignment horizontal="center"/>
    </xf>
    <xf numFmtId="44" fontId="6" fillId="8" borderId="37" xfId="1" applyFont="1" applyFill="1" applyBorder="1" applyAlignment="1" applyProtection="1">
      <alignment horizontal="center"/>
    </xf>
    <xf numFmtId="44" fontId="6" fillId="0" borderId="0" xfId="1" applyFont="1" applyFill="1" applyBorder="1" applyProtection="1"/>
    <xf numFmtId="167" fontId="6" fillId="8" borderId="0" xfId="1" applyNumberFormat="1" applyFont="1" applyFill="1" applyBorder="1" applyAlignment="1" applyProtection="1">
      <alignment horizontal="center"/>
    </xf>
    <xf numFmtId="44" fontId="6" fillId="8" borderId="0" xfId="1" applyFont="1" applyFill="1" applyBorder="1" applyAlignment="1" applyProtection="1">
      <alignment horizontal="center"/>
    </xf>
    <xf numFmtId="44" fontId="6" fillId="8" borderId="27" xfId="1" applyFont="1" applyFill="1" applyBorder="1" applyAlignment="1" applyProtection="1">
      <alignment horizontal="center"/>
    </xf>
    <xf numFmtId="167" fontId="6" fillId="8" borderId="22" xfId="1" applyNumberFormat="1" applyFont="1" applyFill="1" applyBorder="1" applyAlignment="1" applyProtection="1">
      <alignment horizontal="center"/>
    </xf>
    <xf numFmtId="44" fontId="6" fillId="8" borderId="22" xfId="1" applyFont="1" applyFill="1" applyBorder="1" applyAlignment="1" applyProtection="1">
      <alignment horizontal="center"/>
    </xf>
    <xf numFmtId="44" fontId="6" fillId="8" borderId="28" xfId="1" applyFont="1" applyFill="1" applyBorder="1" applyAlignment="1" applyProtection="1">
      <alignment horizontal="center"/>
    </xf>
    <xf numFmtId="167" fontId="9" fillId="8" borderId="0" xfId="1" applyNumberFormat="1" applyFont="1" applyFill="1" applyBorder="1" applyAlignment="1" applyProtection="1">
      <alignment horizontal="center"/>
    </xf>
    <xf numFmtId="44" fontId="9" fillId="8" borderId="0" xfId="1" applyFont="1" applyFill="1" applyBorder="1" applyAlignment="1" applyProtection="1">
      <alignment horizontal="center"/>
    </xf>
    <xf numFmtId="44" fontId="9" fillId="8" borderId="27" xfId="1" applyFont="1" applyFill="1" applyBorder="1" applyAlignment="1" applyProtection="1">
      <alignment horizontal="center"/>
    </xf>
    <xf numFmtId="1" fontId="9" fillId="0" borderId="0" xfId="1" applyNumberFormat="1" applyFont="1" applyFill="1" applyBorder="1" applyAlignment="1" applyProtection="1">
      <alignment horizontal="center"/>
    </xf>
    <xf numFmtId="1" fontId="6" fillId="0" borderId="0" xfId="1" applyNumberFormat="1" applyFont="1" applyFill="1" applyBorder="1" applyAlignment="1" applyProtection="1">
      <alignment horizontal="center"/>
    </xf>
    <xf numFmtId="167" fontId="6" fillId="8" borderId="21" xfId="1" applyNumberFormat="1" applyFont="1" applyFill="1" applyBorder="1" applyAlignment="1" applyProtection="1">
      <alignment horizontal="center"/>
    </xf>
    <xf numFmtId="167" fontId="6" fillId="8" borderId="35" xfId="1" applyNumberFormat="1" applyFont="1" applyFill="1" applyBorder="1" applyAlignment="1" applyProtection="1">
      <alignment horizontal="center"/>
    </xf>
    <xf numFmtId="167" fontId="9" fillId="8" borderId="27" xfId="1" applyNumberFormat="1" applyFont="1" applyFill="1" applyBorder="1" applyAlignment="1" applyProtection="1">
      <alignment horizontal="center"/>
    </xf>
    <xf numFmtId="167" fontId="9" fillId="0" borderId="0" xfId="1" applyNumberFormat="1" applyFont="1" applyFill="1" applyBorder="1" applyAlignment="1" applyProtection="1">
      <alignment horizontal="center"/>
    </xf>
    <xf numFmtId="167" fontId="9" fillId="0" borderId="27" xfId="1" applyNumberFormat="1" applyFont="1" applyFill="1" applyBorder="1" applyAlignment="1" applyProtection="1">
      <alignment horizontal="center"/>
    </xf>
    <xf numFmtId="44" fontId="9" fillId="0" borderId="0" xfId="1" applyFont="1" applyFill="1" applyBorder="1" applyProtection="1"/>
    <xf numFmtId="167" fontId="10" fillId="8" borderId="22" xfId="1" applyNumberFormat="1" applyFont="1" applyFill="1" applyBorder="1" applyAlignment="1" applyProtection="1">
      <alignment horizontal="center"/>
    </xf>
    <xf numFmtId="167" fontId="10" fillId="8" borderId="28" xfId="1" applyNumberFormat="1" applyFont="1" applyFill="1" applyBorder="1" applyAlignment="1" applyProtection="1">
      <alignment horizontal="center"/>
    </xf>
    <xf numFmtId="14" fontId="10" fillId="7" borderId="30" xfId="1" applyNumberFormat="1" applyFont="1" applyFill="1" applyBorder="1" applyAlignment="1">
      <alignment horizontal="center"/>
    </xf>
    <xf numFmtId="2" fontId="14" fillId="0" borderId="0" xfId="0" applyFont="1" applyBorder="1" applyProtection="1">
      <protection locked="0"/>
    </xf>
    <xf numFmtId="2" fontId="15" fillId="0" borderId="0" xfId="0" applyFont="1" applyBorder="1"/>
    <xf numFmtId="2" fontId="6" fillId="0" borderId="0" xfId="0" applyFont="1" applyFill="1" applyBorder="1"/>
    <xf numFmtId="2" fontId="15" fillId="0" borderId="0" xfId="0" applyFont="1" applyBorder="1" applyAlignment="1" applyProtection="1">
      <alignment horizontal="left"/>
    </xf>
    <xf numFmtId="168" fontId="15" fillId="0" borderId="0" xfId="0" applyNumberFormat="1" applyFont="1" applyBorder="1" applyAlignment="1" applyProtection="1">
      <alignment horizontal="left"/>
    </xf>
    <xf numFmtId="2" fontId="6" fillId="0" borderId="0" xfId="0" applyFont="1" applyBorder="1" applyProtection="1"/>
    <xf numFmtId="2" fontId="13" fillId="0" borderId="0" xfId="0" applyFont="1" applyBorder="1" applyAlignment="1" applyProtection="1">
      <alignment horizontal="left" wrapText="1"/>
    </xf>
    <xf numFmtId="2" fontId="16" fillId="0" borderId="0" xfId="0" applyFont="1" applyBorder="1" applyProtection="1"/>
    <xf numFmtId="2" fontId="9" fillId="0" borderId="0" xfId="0" applyFont="1" applyBorder="1" applyProtection="1"/>
    <xf numFmtId="2" fontId="17" fillId="0" borderId="0" xfId="0" applyFont="1" applyBorder="1" applyProtection="1"/>
    <xf numFmtId="2" fontId="6" fillId="4" borderId="1" xfId="0" applyFont="1" applyFill="1" applyBorder="1" applyProtection="1"/>
    <xf numFmtId="2" fontId="6" fillId="4" borderId="1" xfId="0" applyFont="1" applyFill="1" applyBorder="1" applyAlignment="1" applyProtection="1">
      <alignment wrapText="1"/>
    </xf>
    <xf numFmtId="2" fontId="6" fillId="0" borderId="1" xfId="0" applyFont="1" applyBorder="1" applyProtection="1"/>
    <xf numFmtId="2" fontId="6" fillId="7" borderId="1" xfId="0" applyFont="1" applyFill="1" applyBorder="1" applyProtection="1"/>
    <xf numFmtId="2" fontId="17" fillId="0" borderId="0" xfId="0" applyFont="1" applyFill="1" applyBorder="1" applyProtection="1"/>
    <xf numFmtId="2" fontId="6" fillId="0" borderId="0" xfId="0" applyFont="1" applyFill="1" applyBorder="1" applyProtection="1"/>
    <xf numFmtId="2" fontId="6" fillId="0" borderId="1" xfId="0" applyFont="1" applyBorder="1" applyAlignment="1" applyProtection="1">
      <alignment wrapText="1"/>
    </xf>
    <xf numFmtId="2" fontId="6" fillId="0" borderId="1" xfId="0" applyFont="1" applyBorder="1" applyAlignment="1" applyProtection="1">
      <alignment horizontal="left" indent="1"/>
    </xf>
    <xf numFmtId="2" fontId="6" fillId="0" borderId="1" xfId="0" applyFont="1" applyFill="1" applyBorder="1" applyAlignment="1" applyProtection="1">
      <alignment horizontal="left" indent="1"/>
    </xf>
    <xf numFmtId="2" fontId="10" fillId="0" borderId="0" xfId="0" applyFont="1" applyBorder="1" applyProtection="1"/>
    <xf numFmtId="165" fontId="6" fillId="0" borderId="0" xfId="0" applyNumberFormat="1" applyFont="1" applyBorder="1" applyAlignment="1" applyProtection="1">
      <alignment horizontal="left"/>
    </xf>
    <xf numFmtId="2" fontId="9" fillId="0" borderId="0" xfId="0" applyFont="1" applyBorder="1" applyAlignment="1" applyProtection="1">
      <alignment horizontal="center"/>
    </xf>
    <xf numFmtId="14" fontId="6" fillId="3" borderId="1" xfId="0" applyNumberFormat="1" applyFont="1" applyFill="1" applyBorder="1" applyAlignment="1" applyProtection="1">
      <alignment horizontal="left" indent="2"/>
      <protection locked="0"/>
    </xf>
    <xf numFmtId="2" fontId="6" fillId="0" borderId="0" xfId="0" applyFont="1" applyBorder="1" applyAlignment="1" applyProtection="1">
      <alignment horizontal="left" indent="2"/>
    </xf>
    <xf numFmtId="2" fontId="9" fillId="0" borderId="0" xfId="0" applyFont="1" applyBorder="1"/>
    <xf numFmtId="49" fontId="6" fillId="3" borderId="3" xfId="0" applyNumberFormat="1" applyFont="1" applyFill="1" applyBorder="1" applyAlignment="1" applyProtection="1">
      <protection locked="0"/>
    </xf>
    <xf numFmtId="49" fontId="6" fillId="3" borderId="4" xfId="0" applyNumberFormat="1" applyFont="1" applyFill="1" applyBorder="1" applyAlignment="1" applyProtection="1">
      <protection locked="0"/>
    </xf>
    <xf numFmtId="2" fontId="9" fillId="0" borderId="0" xfId="0" applyFont="1" applyBorder="1" applyAlignment="1" applyProtection="1">
      <alignment horizontal="right"/>
    </xf>
    <xf numFmtId="2" fontId="6" fillId="3" borderId="1" xfId="0" applyFont="1" applyFill="1" applyBorder="1" applyAlignment="1" applyProtection="1">
      <alignment horizontal="center"/>
      <protection locked="0"/>
    </xf>
    <xf numFmtId="2" fontId="9" fillId="3" borderId="1" xfId="0" applyFont="1" applyFill="1" applyBorder="1" applyAlignment="1" applyProtection="1">
      <alignment horizontal="right"/>
      <protection locked="0"/>
    </xf>
    <xf numFmtId="2" fontId="18" fillId="0" borderId="0" xfId="0" applyFont="1" applyBorder="1"/>
    <xf numFmtId="2" fontId="6" fillId="0" borderId="0" xfId="0" applyFont="1" applyBorder="1" applyAlignment="1">
      <alignment horizontal="right"/>
    </xf>
    <xf numFmtId="2" fontId="9" fillId="0" borderId="0" xfId="0" applyFont="1" applyFill="1" applyBorder="1" applyAlignment="1" applyProtection="1">
      <alignment horizontal="right"/>
    </xf>
    <xf numFmtId="2" fontId="9" fillId="4" borderId="5" xfId="0" applyFont="1" applyFill="1" applyBorder="1" applyAlignment="1" applyProtection="1">
      <alignment horizontal="center" vertical="center" wrapText="1"/>
    </xf>
    <xf numFmtId="2" fontId="6" fillId="0" borderId="11" xfId="0" applyFont="1" applyBorder="1" applyAlignment="1">
      <alignment horizontal="center" wrapText="1"/>
    </xf>
    <xf numFmtId="2" fontId="6" fillId="0" borderId="0" xfId="0" applyFont="1" applyBorder="1" applyAlignment="1">
      <alignment horizontal="center" wrapText="1"/>
    </xf>
    <xf numFmtId="2" fontId="6" fillId="0" borderId="0" xfId="0" applyFont="1" applyFill="1" applyBorder="1" applyAlignment="1">
      <alignment horizontal="right"/>
    </xf>
    <xf numFmtId="2" fontId="6" fillId="3" borderId="1" xfId="0" applyFont="1" applyFill="1" applyBorder="1" applyProtection="1">
      <protection locked="0"/>
    </xf>
    <xf numFmtId="2" fontId="6" fillId="3" borderId="1" xfId="0" applyFont="1" applyFill="1" applyBorder="1" applyAlignment="1" applyProtection="1">
      <alignment horizontal="center" vertical="center"/>
      <protection locked="0"/>
    </xf>
    <xf numFmtId="2" fontId="13" fillId="3" borderId="6" xfId="0" applyFont="1" applyFill="1" applyBorder="1" applyAlignment="1" applyProtection="1">
      <alignment horizontal="left" vertical="center" wrapText="1"/>
      <protection locked="0"/>
    </xf>
    <xf numFmtId="2" fontId="13" fillId="3" borderId="12" xfId="0" applyFont="1" applyFill="1" applyBorder="1" applyAlignment="1" applyProtection="1">
      <alignment horizontal="left" vertical="center" wrapText="1"/>
      <protection locked="0"/>
    </xf>
    <xf numFmtId="2" fontId="13" fillId="3" borderId="13" xfId="0" applyFont="1" applyFill="1" applyBorder="1" applyAlignment="1" applyProtection="1">
      <alignment horizontal="left" vertical="center" wrapText="1"/>
      <protection locked="0"/>
    </xf>
    <xf numFmtId="2" fontId="13" fillId="3" borderId="7" xfId="0" applyFont="1" applyFill="1" applyBorder="1" applyAlignment="1" applyProtection="1">
      <alignment horizontal="left" vertical="center" wrapText="1"/>
      <protection locked="0"/>
    </xf>
    <xf numFmtId="2" fontId="13" fillId="3" borderId="10" xfId="0" applyFont="1" applyFill="1" applyBorder="1" applyAlignment="1" applyProtection="1">
      <alignment horizontal="left" vertical="center" wrapText="1"/>
      <protection locked="0"/>
    </xf>
    <xf numFmtId="2" fontId="13" fillId="3" borderId="8" xfId="0" applyFont="1" applyFill="1" applyBorder="1" applyAlignment="1" applyProtection="1">
      <alignment horizontal="left" vertical="center" wrapText="1"/>
      <protection locked="0"/>
    </xf>
    <xf numFmtId="2" fontId="9" fillId="8" borderId="1" xfId="0" applyFont="1" applyFill="1" applyBorder="1" applyProtection="1"/>
    <xf numFmtId="2" fontId="6" fillId="8" borderId="1" xfId="0" applyFont="1" applyFill="1" applyBorder="1" applyProtection="1"/>
    <xf numFmtId="2" fontId="6" fillId="6" borderId="1" xfId="0" applyFont="1" applyFill="1" applyBorder="1" applyProtection="1">
      <protection locked="0"/>
    </xf>
    <xf numFmtId="2" fontId="9" fillId="0" borderId="0" xfId="0" applyFont="1" applyFill="1" applyBorder="1" applyAlignment="1">
      <alignment horizontal="right"/>
    </xf>
    <xf numFmtId="2" fontId="6" fillId="0" borderId="0" xfId="0" applyFont="1" applyFill="1" applyBorder="1" applyAlignment="1">
      <alignment horizontal="right" vertical="top"/>
    </xf>
    <xf numFmtId="2" fontId="6" fillId="0" borderId="0" xfId="0" applyFont="1" applyFill="1" applyBorder="1" applyAlignment="1"/>
    <xf numFmtId="2" fontId="6" fillId="0" borderId="0" xfId="0" applyFont="1" applyBorder="1" applyAlignment="1"/>
    <xf numFmtId="165" fontId="9" fillId="0" borderId="0" xfId="0" applyNumberFormat="1" applyFont="1" applyBorder="1" applyAlignment="1" applyProtection="1">
      <alignment horizontal="left"/>
    </xf>
    <xf numFmtId="2" fontId="19" fillId="0" borderId="0" xfId="0" applyFont="1" applyBorder="1"/>
    <xf numFmtId="2" fontId="6" fillId="3" borderId="5" xfId="0" applyFont="1" applyFill="1" applyBorder="1" applyProtection="1">
      <protection locked="0"/>
    </xf>
    <xf numFmtId="2" fontId="9" fillId="3" borderId="14" xfId="0" applyFont="1" applyFill="1" applyBorder="1" applyAlignment="1" applyProtection="1">
      <alignment horizontal="center" wrapText="1"/>
      <protection locked="0"/>
    </xf>
    <xf numFmtId="2" fontId="9" fillId="3" borderId="18" xfId="0" applyFont="1" applyFill="1" applyBorder="1" applyAlignment="1" applyProtection="1">
      <alignment horizontal="center" wrapText="1"/>
      <protection locked="0"/>
    </xf>
    <xf numFmtId="2" fontId="9" fillId="3" borderId="15" xfId="0" applyFont="1" applyFill="1" applyBorder="1" applyAlignment="1" applyProtection="1">
      <alignment horizontal="center" wrapText="1"/>
      <protection locked="0"/>
    </xf>
  </cellXfs>
  <cellStyles count="5">
    <cellStyle name="Comma" xfId="2" builtinId="3"/>
    <cellStyle name="Currency" xfId="1" builtinId="4"/>
    <cellStyle name="Currency 2" xfId="4"/>
    <cellStyle name="Normal" xfId="0" builtinId="0"/>
    <cellStyle name="Normal 2" xfId="3"/>
  </cellStyles>
  <dxfs count="5">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theme="4" tint="0.799981688894314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topLeftCell="A4" zoomScaleNormal="100" workbookViewId="0">
      <selection activeCell="C13" sqref="C13"/>
    </sheetView>
    <sheetView view="pageLayout" zoomScaleNormal="100" workbookViewId="1">
      <selection activeCell="A3" sqref="A3:F3"/>
    </sheetView>
  </sheetViews>
  <sheetFormatPr defaultColWidth="9.109375" defaultRowHeight="13.2" x14ac:dyDescent="0.25"/>
  <cols>
    <col min="1" max="1" width="26.6640625" style="174" bestFit="1" customWidth="1"/>
    <col min="2" max="2" width="13.6640625" style="174" customWidth="1"/>
    <col min="3" max="3" width="12.44140625" style="174" bestFit="1" customWidth="1"/>
    <col min="4" max="4" width="13.109375" style="174" bestFit="1" customWidth="1"/>
    <col min="5" max="16384" width="9.109375" style="174"/>
  </cols>
  <sheetData>
    <row r="1" spans="1:6" x14ac:dyDescent="0.25">
      <c r="A1" s="172" t="s">
        <v>84</v>
      </c>
      <c r="B1" s="173">
        <v>44736</v>
      </c>
    </row>
    <row r="3" spans="1:6" ht="30.75" customHeight="1" x14ac:dyDescent="0.25">
      <c r="A3" s="175" t="s">
        <v>159</v>
      </c>
      <c r="B3" s="175"/>
      <c r="C3" s="175"/>
      <c r="D3" s="175"/>
      <c r="E3" s="175"/>
      <c r="F3" s="175"/>
    </row>
    <row r="4" spans="1:6" ht="25.5" customHeight="1" x14ac:dyDescent="0.25">
      <c r="A4" s="175" t="s">
        <v>157</v>
      </c>
      <c r="B4" s="175"/>
      <c r="C4" s="175"/>
      <c r="D4" s="175"/>
      <c r="E4" s="175"/>
      <c r="F4" s="175"/>
    </row>
    <row r="5" spans="1:6" ht="15" x14ac:dyDescent="0.25">
      <c r="A5" s="176" t="s">
        <v>158</v>
      </c>
      <c r="B5" s="177"/>
    </row>
    <row r="6" spans="1:6" ht="24" customHeight="1" x14ac:dyDescent="0.25">
      <c r="A6" s="175" t="s">
        <v>150</v>
      </c>
      <c r="B6" s="175"/>
      <c r="C6" s="175"/>
      <c r="D6" s="175"/>
      <c r="E6" s="175"/>
      <c r="F6" s="175"/>
    </row>
    <row r="7" spans="1:6" ht="26.25" customHeight="1" x14ac:dyDescent="0.25">
      <c r="A7" s="175" t="s">
        <v>141</v>
      </c>
      <c r="B7" s="175"/>
      <c r="C7" s="175"/>
      <c r="D7" s="175"/>
      <c r="E7" s="175"/>
      <c r="F7" s="175"/>
    </row>
    <row r="8" spans="1:6" x14ac:dyDescent="0.25">
      <c r="A8" s="175" t="s">
        <v>160</v>
      </c>
      <c r="B8" s="175"/>
      <c r="C8" s="175"/>
      <c r="D8" s="175"/>
      <c r="E8" s="175"/>
      <c r="F8" s="175"/>
    </row>
    <row r="10" spans="1:6" ht="15" x14ac:dyDescent="0.25">
      <c r="A10" s="176" t="s">
        <v>120</v>
      </c>
    </row>
    <row r="11" spans="1:6" x14ac:dyDescent="0.25">
      <c r="A11" s="178" t="s">
        <v>8</v>
      </c>
    </row>
    <row r="12" spans="1:6" ht="39.6" x14ac:dyDescent="0.25">
      <c r="A12" s="179" t="s">
        <v>140</v>
      </c>
      <c r="B12" s="179" t="s">
        <v>1</v>
      </c>
      <c r="C12" s="180" t="s">
        <v>129</v>
      </c>
      <c r="D12" s="180" t="s">
        <v>127</v>
      </c>
      <c r="E12" s="180" t="s">
        <v>118</v>
      </c>
    </row>
    <row r="13" spans="1:6" x14ac:dyDescent="0.25">
      <c r="A13" s="181" t="s">
        <v>102</v>
      </c>
      <c r="B13" s="182">
        <v>2.7</v>
      </c>
      <c r="C13" s="182">
        <f>100-E13/B13</f>
        <v>61.851851851851855</v>
      </c>
      <c r="D13" s="182">
        <v>1</v>
      </c>
      <c r="E13" s="182">
        <f>ROUND(B13*100*0.38,0)</f>
        <v>103</v>
      </c>
    </row>
    <row r="14" spans="1:6" x14ac:dyDescent="0.25">
      <c r="A14" s="181" t="s">
        <v>103</v>
      </c>
      <c r="B14" s="182">
        <v>2.7</v>
      </c>
      <c r="C14" s="182">
        <f>C13</f>
        <v>61.851851851851855</v>
      </c>
      <c r="D14" s="182">
        <v>1</v>
      </c>
      <c r="E14" s="182">
        <v>20</v>
      </c>
    </row>
    <row r="15" spans="1:6" ht="23.25" customHeight="1" x14ac:dyDescent="0.25">
      <c r="A15" s="175" t="s">
        <v>153</v>
      </c>
      <c r="B15" s="175"/>
      <c r="C15" s="175"/>
      <c r="D15" s="175"/>
      <c r="E15" s="175"/>
      <c r="F15" s="175"/>
    </row>
    <row r="16" spans="1:6" x14ac:dyDescent="0.25">
      <c r="A16" s="183" t="s">
        <v>126</v>
      </c>
      <c r="C16" s="184"/>
    </row>
    <row r="17" spans="1:6" ht="26.4" x14ac:dyDescent="0.25">
      <c r="A17" s="179" t="s">
        <v>139</v>
      </c>
      <c r="B17" s="180" t="s">
        <v>128</v>
      </c>
    </row>
    <row r="18" spans="1:6" x14ac:dyDescent="0.25">
      <c r="A18" s="181" t="s">
        <v>29</v>
      </c>
      <c r="B18" s="182">
        <v>1.5</v>
      </c>
    </row>
    <row r="19" spans="1:6" x14ac:dyDescent="0.25">
      <c r="A19" s="181" t="s">
        <v>87</v>
      </c>
      <c r="B19" s="182">
        <v>5.8</v>
      </c>
    </row>
    <row r="20" spans="1:6" x14ac:dyDescent="0.25">
      <c r="A20" s="181" t="s">
        <v>32</v>
      </c>
      <c r="B20" s="182">
        <v>4.5999999999999996</v>
      </c>
    </row>
    <row r="21" spans="1:6" x14ac:dyDescent="0.25">
      <c r="A21" s="181" t="s">
        <v>133</v>
      </c>
      <c r="B21" s="185" t="s">
        <v>50</v>
      </c>
    </row>
    <row r="22" spans="1:6" x14ac:dyDescent="0.25">
      <c r="A22" s="186" t="s">
        <v>134</v>
      </c>
      <c r="B22" s="182">
        <v>25</v>
      </c>
    </row>
    <row r="23" spans="1:6" x14ac:dyDescent="0.25">
      <c r="A23" s="187" t="s">
        <v>135</v>
      </c>
      <c r="B23" s="182">
        <v>43</v>
      </c>
    </row>
    <row r="24" spans="1:6" x14ac:dyDescent="0.25">
      <c r="A24" s="175" t="s">
        <v>151</v>
      </c>
      <c r="B24" s="175"/>
      <c r="C24" s="175"/>
      <c r="D24" s="175"/>
      <c r="E24" s="175"/>
      <c r="F24" s="175"/>
    </row>
    <row r="25" spans="1:6" ht="26.25" customHeight="1" x14ac:dyDescent="0.25">
      <c r="A25" s="175" t="s">
        <v>152</v>
      </c>
      <c r="B25" s="175"/>
      <c r="C25" s="175"/>
      <c r="D25" s="175"/>
      <c r="E25" s="175"/>
      <c r="F25" s="175"/>
    </row>
    <row r="27" spans="1:6" ht="15" x14ac:dyDescent="0.25">
      <c r="A27" s="176" t="s">
        <v>71</v>
      </c>
      <c r="B27" s="188"/>
    </row>
    <row r="28" spans="1:6" x14ac:dyDescent="0.25">
      <c r="A28" s="174" t="s">
        <v>42</v>
      </c>
      <c r="B28" s="174" t="s">
        <v>43</v>
      </c>
    </row>
    <row r="29" spans="1:6" x14ac:dyDescent="0.25">
      <c r="A29" s="174" t="s">
        <v>44</v>
      </c>
      <c r="B29" s="174" t="s">
        <v>45</v>
      </c>
    </row>
    <row r="30" spans="1:6" x14ac:dyDescent="0.25">
      <c r="A30" s="174" t="s">
        <v>54</v>
      </c>
      <c r="B30" s="174" t="s">
        <v>55</v>
      </c>
    </row>
    <row r="31" spans="1:6" x14ac:dyDescent="0.25">
      <c r="A31" s="174" t="s">
        <v>46</v>
      </c>
      <c r="B31" s="174" t="s">
        <v>47</v>
      </c>
    </row>
    <row r="32" spans="1:6" x14ac:dyDescent="0.25">
      <c r="A32" s="174" t="s">
        <v>48</v>
      </c>
      <c r="B32" s="174" t="s">
        <v>49</v>
      </c>
    </row>
    <row r="33" spans="1:2" x14ac:dyDescent="0.25">
      <c r="A33" s="174" t="s">
        <v>50</v>
      </c>
      <c r="B33" s="174" t="s">
        <v>51</v>
      </c>
    </row>
    <row r="34" spans="1:2" x14ac:dyDescent="0.25">
      <c r="A34" s="184" t="s">
        <v>130</v>
      </c>
      <c r="B34" s="184" t="s">
        <v>131</v>
      </c>
    </row>
    <row r="35" spans="1:2" x14ac:dyDescent="0.25">
      <c r="A35" s="174" t="s">
        <v>52</v>
      </c>
      <c r="B35" s="174" t="s">
        <v>53</v>
      </c>
    </row>
    <row r="36" spans="1:2" x14ac:dyDescent="0.25">
      <c r="A36" s="174" t="s">
        <v>56</v>
      </c>
      <c r="B36" s="174" t="s">
        <v>57</v>
      </c>
    </row>
    <row r="37" spans="1:2" x14ac:dyDescent="0.25">
      <c r="A37" s="184" t="s">
        <v>65</v>
      </c>
      <c r="B37" s="184" t="s">
        <v>66</v>
      </c>
    </row>
    <row r="38" spans="1:2" x14ac:dyDescent="0.25">
      <c r="A38" s="184" t="s">
        <v>67</v>
      </c>
      <c r="B38" s="174" t="s">
        <v>68</v>
      </c>
    </row>
    <row r="39" spans="1:2" x14ac:dyDescent="0.25">
      <c r="A39" s="174" t="s">
        <v>1</v>
      </c>
      <c r="B39" s="174" t="s">
        <v>58</v>
      </c>
    </row>
    <row r="41" spans="1:2" ht="15" x14ac:dyDescent="0.25">
      <c r="A41" s="176" t="s">
        <v>59</v>
      </c>
    </row>
    <row r="42" spans="1:2" x14ac:dyDescent="0.25">
      <c r="A42" s="174" t="s">
        <v>60</v>
      </c>
    </row>
    <row r="43" spans="1:2" x14ac:dyDescent="0.25">
      <c r="A43" s="174" t="s">
        <v>61</v>
      </c>
    </row>
    <row r="45" spans="1:2" ht="15" x14ac:dyDescent="0.25">
      <c r="A45" s="176"/>
    </row>
  </sheetData>
  <sheetProtection algorithmName="SHA-512" hashValue="86FJnnb8cjF+sMwWHu+F8YbxzMeTylL+ze87pLqXNFVFWAxCFJcYRn0Ymn3wPcSzTRU4vKC4YeS9vYknlCyWSw==" saltValue="Sxo8OSI8fLbZVdPcFhmYZA==" spinCount="100000" sheet="1" objects="1" scenarios="1" selectLockedCells="1"/>
  <sortState ref="A42:B55">
    <sortCondition ref="A42:A55"/>
  </sortState>
  <mergeCells count="8">
    <mergeCell ref="A24:F24"/>
    <mergeCell ref="A25:F25"/>
    <mergeCell ref="A15:F15"/>
    <mergeCell ref="A3:F3"/>
    <mergeCell ref="A4:F4"/>
    <mergeCell ref="A6:F6"/>
    <mergeCell ref="A7:F7"/>
    <mergeCell ref="A8:F8"/>
  </mergeCells>
  <conditionalFormatting sqref="A3:F3">
    <cfRule type="expression" dxfId="0" priority="1">
      <formula>CELL("protect",A1)=0</formula>
    </cfRule>
  </conditionalFormatting>
  <pageMargins left="0.7" right="0.7" top="0.75" bottom="0.75" header="0.3" footer="0.3"/>
  <pageSetup orientation="portrait" verticalDpi="1200" r:id="rId1"/>
  <headerFooter>
    <oddHeader>&amp;C&amp;"Century Gothic,Bold"&amp;14Subdivision Water Demand Calculator</oddHeader>
    <oddFooter>&amp;L&amp;8&amp;F
Printed: &amp;D &amp;T&amp;C&amp;"Century Gothic,Regular"Marana Subdivision Calculator
Conversions / Assumptions&amp;RPage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tabSelected="1" view="pageLayout" zoomScaleNormal="96" zoomScaleSheetLayoutView="98" workbookViewId="0">
      <selection activeCell="B26" sqref="B26"/>
    </sheetView>
    <sheetView view="pageLayout" zoomScaleNormal="100" workbookViewId="1">
      <selection activeCell="C17" sqref="C17"/>
    </sheetView>
  </sheetViews>
  <sheetFormatPr defaultColWidth="9.109375" defaultRowHeight="13.2" x14ac:dyDescent="0.25"/>
  <cols>
    <col min="1" max="1" width="38.33203125" style="26" customWidth="1"/>
    <col min="2" max="2" width="15.5546875" style="26" customWidth="1"/>
    <col min="3" max="3" width="13.33203125" style="26" customWidth="1"/>
    <col min="4" max="4" width="15" style="26" customWidth="1"/>
    <col min="5" max="5" width="14.33203125" style="26" customWidth="1"/>
    <col min="6" max="6" width="12.6640625" style="26" customWidth="1"/>
    <col min="7" max="7" width="12.88671875" style="26" customWidth="1"/>
    <col min="8" max="8" width="4.6640625" style="26" customWidth="1"/>
    <col min="9" max="9" width="9.5546875" style="26" bestFit="1" customWidth="1"/>
    <col min="10" max="16384" width="9.109375" style="26"/>
  </cols>
  <sheetData>
    <row r="1" spans="1:16" x14ac:dyDescent="0.25">
      <c r="A1" s="189"/>
      <c r="B1" s="174"/>
      <c r="C1" s="190"/>
      <c r="D1" s="174"/>
      <c r="E1" s="174"/>
    </row>
    <row r="2" spans="1:16" ht="12.75" customHeight="1" x14ac:dyDescent="0.25">
      <c r="A2" s="177"/>
      <c r="B2" s="174"/>
      <c r="C2" s="174"/>
      <c r="D2" s="174"/>
      <c r="E2" s="174"/>
      <c r="F2" s="174"/>
      <c r="G2" s="174"/>
      <c r="H2" s="174"/>
      <c r="I2" s="174"/>
    </row>
    <row r="3" spans="1:16" x14ac:dyDescent="0.25">
      <c r="A3" s="26" t="s">
        <v>96</v>
      </c>
      <c r="B3" s="191"/>
      <c r="C3" s="192"/>
      <c r="D3" s="192"/>
      <c r="E3" s="192"/>
      <c r="F3" s="174"/>
      <c r="G3" s="177" t="s">
        <v>101</v>
      </c>
      <c r="H3" s="193"/>
    </row>
    <row r="4" spans="1:16" x14ac:dyDescent="0.25">
      <c r="A4" s="26" t="s">
        <v>70</v>
      </c>
      <c r="B4" s="191"/>
      <c r="C4" s="194"/>
      <c r="D4" s="194"/>
      <c r="E4" s="195"/>
      <c r="G4" s="196" t="s">
        <v>161</v>
      </c>
      <c r="H4" s="197" t="s">
        <v>177</v>
      </c>
    </row>
    <row r="5" spans="1:16" x14ac:dyDescent="0.25">
      <c r="A5" s="26" t="s">
        <v>184</v>
      </c>
      <c r="B5" s="197" t="s">
        <v>167</v>
      </c>
      <c r="G5" s="196" t="s">
        <v>91</v>
      </c>
      <c r="H5" s="197"/>
    </row>
    <row r="6" spans="1:16" x14ac:dyDescent="0.25">
      <c r="A6" s="193" t="s">
        <v>72</v>
      </c>
      <c r="B6" s="198"/>
      <c r="C6" s="199"/>
      <c r="D6" s="200" t="s">
        <v>217</v>
      </c>
      <c r="E6" s="26">
        <f>B6-(B11+B24)</f>
        <v>0</v>
      </c>
      <c r="G6" s="201" t="s">
        <v>149</v>
      </c>
      <c r="H6" s="197"/>
    </row>
    <row r="7" spans="1:16" x14ac:dyDescent="0.25">
      <c r="G7" s="201" t="s">
        <v>92</v>
      </c>
      <c r="H7" s="197"/>
    </row>
    <row r="8" spans="1:16" ht="25.2" x14ac:dyDescent="0.25">
      <c r="A8" s="193" t="s">
        <v>97</v>
      </c>
      <c r="B8" s="202" t="s">
        <v>144</v>
      </c>
      <c r="C8" s="202" t="s">
        <v>145</v>
      </c>
      <c r="D8" s="203" t="s">
        <v>162</v>
      </c>
      <c r="E8" s="204"/>
      <c r="F8" s="204"/>
      <c r="G8" s="174"/>
    </row>
    <row r="9" spans="1:16" x14ac:dyDescent="0.25">
      <c r="A9" s="205" t="s">
        <v>142</v>
      </c>
      <c r="B9" s="206"/>
      <c r="C9" s="207"/>
      <c r="D9" s="208" t="s">
        <v>163</v>
      </c>
      <c r="E9" s="209"/>
      <c r="F9" s="210"/>
      <c r="H9" s="171"/>
      <c r="I9" s="171"/>
    </row>
    <row r="10" spans="1:16" x14ac:dyDescent="0.25">
      <c r="A10" s="205" t="s">
        <v>143</v>
      </c>
      <c r="B10" s="206"/>
      <c r="C10" s="206"/>
      <c r="D10" s="211"/>
      <c r="E10" s="212"/>
      <c r="F10" s="213"/>
      <c r="H10" s="171"/>
      <c r="I10" s="171"/>
    </row>
    <row r="11" spans="1:16" x14ac:dyDescent="0.25">
      <c r="A11" s="205" t="s">
        <v>75</v>
      </c>
      <c r="B11" s="214">
        <f>SUM(B9+B10)</f>
        <v>0</v>
      </c>
      <c r="C11" s="184"/>
      <c r="D11" s="184"/>
      <c r="E11" s="184"/>
      <c r="I11" s="171"/>
      <c r="J11" s="171"/>
    </row>
    <row r="12" spans="1:16" x14ac:dyDescent="0.25">
      <c r="I12" s="171"/>
      <c r="J12" s="171"/>
    </row>
    <row r="13" spans="1:16" x14ac:dyDescent="0.25">
      <c r="A13" s="193" t="s">
        <v>98</v>
      </c>
      <c r="I13" s="171"/>
      <c r="J13" s="171"/>
    </row>
    <row r="14" spans="1:16" ht="39.6" x14ac:dyDescent="0.25">
      <c r="A14" s="180" t="s">
        <v>99</v>
      </c>
      <c r="B14" s="180" t="s">
        <v>100</v>
      </c>
      <c r="C14" s="180" t="s">
        <v>93</v>
      </c>
      <c r="D14" s="180" t="s">
        <v>41</v>
      </c>
      <c r="E14" s="180" t="s">
        <v>94</v>
      </c>
      <c r="F14" s="180" t="s">
        <v>95</v>
      </c>
      <c r="J14" s="171"/>
      <c r="K14" s="171"/>
    </row>
    <row r="15" spans="1:16" x14ac:dyDescent="0.25">
      <c r="A15" s="205" t="s">
        <v>76</v>
      </c>
      <c r="B15" s="215">
        <f>SUM(D15:F15)</f>
        <v>0</v>
      </c>
      <c r="C15" s="206"/>
      <c r="D15" s="206"/>
      <c r="E15" s="206"/>
      <c r="F15" s="206"/>
      <c r="G15" s="170"/>
      <c r="J15" s="171"/>
      <c r="K15" s="171"/>
    </row>
    <row r="16" spans="1:16" x14ac:dyDescent="0.25">
      <c r="A16" s="205" t="s">
        <v>77</v>
      </c>
      <c r="B16" s="215">
        <f t="shared" ref="B16:B23" si="0">SUM(D16:F16)</f>
        <v>0</v>
      </c>
      <c r="C16" s="206"/>
      <c r="D16" s="206"/>
      <c r="E16" s="206"/>
      <c r="F16" s="206"/>
      <c r="H16" s="171"/>
      <c r="I16" s="171"/>
      <c r="L16" s="171"/>
      <c r="M16" s="171"/>
      <c r="N16" s="171"/>
      <c r="O16" s="171"/>
      <c r="P16" s="171"/>
    </row>
    <row r="17" spans="1:16" x14ac:dyDescent="0.25">
      <c r="A17" s="205" t="s">
        <v>78</v>
      </c>
      <c r="B17" s="215">
        <f t="shared" si="0"/>
        <v>0</v>
      </c>
      <c r="C17" s="206"/>
      <c r="D17" s="206"/>
      <c r="E17" s="206"/>
      <c r="F17" s="206"/>
    </row>
    <row r="18" spans="1:16" x14ac:dyDescent="0.25">
      <c r="A18" s="205" t="s">
        <v>79</v>
      </c>
      <c r="B18" s="215">
        <f t="shared" si="0"/>
        <v>0</v>
      </c>
      <c r="C18" s="206"/>
      <c r="D18" s="206"/>
      <c r="E18" s="206"/>
      <c r="F18" s="206"/>
      <c r="H18" s="171"/>
      <c r="J18" s="171"/>
      <c r="K18" s="171"/>
      <c r="P18" s="171"/>
    </row>
    <row r="19" spans="1:16" x14ac:dyDescent="0.25">
      <c r="A19" s="205" t="s">
        <v>81</v>
      </c>
      <c r="B19" s="215">
        <f t="shared" si="0"/>
        <v>0</v>
      </c>
      <c r="C19" s="206"/>
      <c r="D19" s="206"/>
      <c r="E19" s="206"/>
      <c r="F19" s="206"/>
    </row>
    <row r="20" spans="1:16" x14ac:dyDescent="0.25">
      <c r="A20" s="205" t="s">
        <v>82</v>
      </c>
      <c r="B20" s="215">
        <f t="shared" si="0"/>
        <v>0</v>
      </c>
      <c r="C20" s="206"/>
      <c r="D20" s="206"/>
      <c r="E20" s="206"/>
      <c r="F20" s="206"/>
    </row>
    <row r="21" spans="1:16" x14ac:dyDescent="0.25">
      <c r="A21" s="205" t="s">
        <v>132</v>
      </c>
      <c r="B21" s="215">
        <f t="shared" si="0"/>
        <v>0</v>
      </c>
      <c r="C21" s="206"/>
      <c r="D21" s="216"/>
      <c r="E21" s="216"/>
      <c r="F21" s="216"/>
    </row>
    <row r="22" spans="1:16" x14ac:dyDescent="0.25">
      <c r="A22" s="205" t="s">
        <v>80</v>
      </c>
      <c r="B22" s="215">
        <f>SUM(D22:F22)</f>
        <v>0</v>
      </c>
      <c r="C22" s="216"/>
      <c r="D22" s="206"/>
      <c r="E22" s="206"/>
      <c r="F22" s="206"/>
    </row>
    <row r="23" spans="1:16" x14ac:dyDescent="0.25">
      <c r="A23" s="205" t="s">
        <v>83</v>
      </c>
      <c r="B23" s="215">
        <f t="shared" si="0"/>
        <v>0</v>
      </c>
      <c r="C23" s="206"/>
      <c r="D23" s="206"/>
      <c r="E23" s="206"/>
      <c r="F23" s="206"/>
    </row>
    <row r="24" spans="1:16" x14ac:dyDescent="0.25">
      <c r="A24" s="217" t="s">
        <v>73</v>
      </c>
      <c r="B24" s="214">
        <f>SUM(B15:B23)</f>
        <v>0</v>
      </c>
      <c r="C24" s="184"/>
      <c r="D24" s="184"/>
      <c r="E24" s="184"/>
    </row>
    <row r="25" spans="1:16" x14ac:dyDescent="0.25">
      <c r="A25" s="205" t="s">
        <v>136</v>
      </c>
      <c r="B25" s="206"/>
      <c r="C25" s="184"/>
      <c r="D25" s="184"/>
      <c r="E25" s="184"/>
    </row>
    <row r="26" spans="1:16" x14ac:dyDescent="0.25">
      <c r="A26" s="205" t="s">
        <v>137</v>
      </c>
      <c r="B26" s="206"/>
      <c r="C26" s="184"/>
      <c r="D26" s="184"/>
      <c r="E26" s="184"/>
    </row>
    <row r="27" spans="1:16" ht="13.8" thickBot="1" x14ac:dyDescent="0.3">
      <c r="A27" s="205" t="s">
        <v>138</v>
      </c>
      <c r="B27" s="223"/>
      <c r="C27" s="184"/>
      <c r="D27" s="184"/>
      <c r="E27" s="184"/>
    </row>
    <row r="28" spans="1:16" ht="59.4" customHeight="1" thickBot="1" x14ac:dyDescent="0.3">
      <c r="A28" s="218" t="s">
        <v>111</v>
      </c>
      <c r="B28" s="224"/>
      <c r="C28" s="225"/>
      <c r="D28" s="225"/>
      <c r="E28" s="225"/>
      <c r="F28" s="225"/>
      <c r="G28" s="225"/>
      <c r="H28" s="225"/>
      <c r="I28" s="225"/>
      <c r="J28" s="225"/>
      <c r="K28" s="225"/>
      <c r="L28" s="225"/>
      <c r="M28" s="226"/>
    </row>
    <row r="29" spans="1:16" x14ac:dyDescent="0.25">
      <c r="A29" s="193"/>
      <c r="B29" s="184"/>
      <c r="C29" s="184"/>
      <c r="D29" s="184"/>
      <c r="E29" s="184"/>
      <c r="F29" s="174"/>
    </row>
    <row r="30" spans="1:16" x14ac:dyDescent="0.25">
      <c r="A30" s="26" t="s">
        <v>74</v>
      </c>
      <c r="B30" s="206"/>
      <c r="C30" s="184"/>
      <c r="D30" s="184"/>
      <c r="E30" s="184"/>
    </row>
    <row r="32" spans="1:16" s="220" customFormat="1" x14ac:dyDescent="0.25">
      <c r="A32" s="219"/>
    </row>
    <row r="33" spans="1:15" s="220" customFormat="1" x14ac:dyDescent="0.25">
      <c r="A33" s="219"/>
    </row>
    <row r="34" spans="1:15" s="220" customFormat="1" x14ac:dyDescent="0.25">
      <c r="A34" s="219"/>
    </row>
    <row r="35" spans="1:15" s="220" customFormat="1" x14ac:dyDescent="0.25">
      <c r="A35" s="219"/>
    </row>
    <row r="36" spans="1:15" x14ac:dyDescent="0.25">
      <c r="A36" s="171"/>
    </row>
    <row r="37" spans="1:15" x14ac:dyDescent="0.25">
      <c r="A37" s="221"/>
    </row>
    <row r="44" spans="1:15" x14ac:dyDescent="0.25">
      <c r="O44" s="222" t="s">
        <v>177</v>
      </c>
    </row>
  </sheetData>
  <sheetProtection algorithmName="SHA-512" hashValue="ZyEYUmT6hckXBvSh6oTdfP44Aq7Y64yAiK1CN78EfT3Q1QGZZFU2hTiYPP6C0dwfr6SADdPyVdr3vaTSl16yuA==" saltValue="/KTLaP5TPLicVwhwYbVNwg==" spinCount="100000" sheet="1" selectLockedCells="1"/>
  <mergeCells count="3">
    <mergeCell ref="D8:F8"/>
    <mergeCell ref="D9:F10"/>
    <mergeCell ref="B28:M28"/>
  </mergeCells>
  <phoneticPr fontId="2" type="noConversion"/>
  <conditionalFormatting sqref="A1:XFD27 A29:XFD1048576 A28:B28 N28:XFD28">
    <cfRule type="expression" dxfId="4" priority="3">
      <formula>CELL("protect",A1)=0</formula>
    </cfRule>
  </conditionalFormatting>
  <conditionalFormatting sqref="E6">
    <cfRule type="cellIs" dxfId="3" priority="1" operator="equal">
      <formula>0</formula>
    </cfRule>
    <cfRule type="cellIs" dxfId="2" priority="2" operator="notEqual">
      <formula>0</formula>
    </cfRule>
  </conditionalFormatting>
  <dataValidations disablePrompts="1" count="1">
    <dataValidation type="list" allowBlank="1" showInputMessage="1" showErrorMessage="1" sqref="H4:H6">
      <formula1>$O$44:$O$45</formula1>
    </dataValidation>
  </dataValidations>
  <pageMargins left="0.75" right="0.75" top="1" bottom="1" header="0.5" footer="0.5"/>
  <pageSetup scale="64" orientation="landscape" r:id="rId1"/>
  <headerFooter alignWithMargins="0">
    <oddHeader>&amp;C&amp;"Century Gothic,Bold"&amp;14Project Site Information</oddHeader>
    <oddFooter>&amp;L&amp;F
Printed: &amp;D &amp;T&amp;CMarana Subdivision Calculator
Site Info&amp;RPage 2</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Fees!$B$25:$D$25</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6"/>
  <sheetViews>
    <sheetView view="pageLayout" topLeftCell="A25" zoomScale="120" zoomScaleNormal="106" zoomScaleSheetLayoutView="98" zoomScalePageLayoutView="120" workbookViewId="0">
      <selection activeCell="B50" sqref="B50"/>
    </sheetView>
    <sheetView tabSelected="1" view="pageLayout" zoomScaleNormal="100" zoomScaleSheetLayoutView="130" workbookViewId="1">
      <selection activeCell="F28" sqref="F28"/>
    </sheetView>
  </sheetViews>
  <sheetFormatPr defaultColWidth="9.109375" defaultRowHeight="13.2" x14ac:dyDescent="0.25"/>
  <cols>
    <col min="1" max="1" width="29.109375" style="24" customWidth="1"/>
    <col min="2" max="3" width="14.33203125" style="24" customWidth="1"/>
    <col min="4" max="4" width="13.33203125" style="24" customWidth="1"/>
    <col min="5" max="5" width="14.44140625" style="24" bestFit="1" customWidth="1"/>
    <col min="6" max="6" width="15.33203125" style="24" customWidth="1"/>
    <col min="7" max="7" width="10.88671875" style="24" customWidth="1"/>
    <col min="8" max="9" width="9.109375" style="24"/>
    <col min="10" max="16384" width="9.109375" style="26"/>
  </cols>
  <sheetData>
    <row r="1" spans="1:26" ht="15" x14ac:dyDescent="0.25">
      <c r="A1" s="23"/>
      <c r="C1" s="25"/>
    </row>
    <row r="2" spans="1:26" x14ac:dyDescent="0.25">
      <c r="A2" s="23"/>
      <c r="B2" s="27"/>
    </row>
    <row r="3" spans="1:26" x14ac:dyDescent="0.25">
      <c r="A3" s="23" t="s">
        <v>70</v>
      </c>
      <c r="B3" s="28">
        <f>'PROJECT SITE INFORMATION'!B4</f>
        <v>0</v>
      </c>
      <c r="C3" s="29"/>
      <c r="D3" s="30"/>
    </row>
    <row r="4" spans="1:26" x14ac:dyDescent="0.25">
      <c r="A4" s="31" t="s">
        <v>85</v>
      </c>
      <c r="B4" s="32">
        <f>'PROJECT SITE INFORMATION'!B3</f>
        <v>0</v>
      </c>
      <c r="C4" s="33"/>
      <c r="D4" s="33"/>
      <c r="E4" s="34"/>
      <c r="F4" s="34"/>
    </row>
    <row r="5" spans="1:26" ht="12.75" customHeight="1" x14ac:dyDescent="0.25">
      <c r="C5" s="35"/>
    </row>
    <row r="6" spans="1:26" ht="12.75" customHeight="1" x14ac:dyDescent="0.25">
      <c r="A6" s="36" t="s">
        <v>62</v>
      </c>
    </row>
    <row r="7" spans="1:26" ht="39.6" x14ac:dyDescent="0.25">
      <c r="A7" s="37" t="s">
        <v>0</v>
      </c>
      <c r="B7" s="38" t="s">
        <v>86</v>
      </c>
      <c r="C7" s="38" t="s">
        <v>119</v>
      </c>
      <c r="D7" s="38" t="s">
        <v>4</v>
      </c>
      <c r="E7" s="38" t="s">
        <v>2</v>
      </c>
      <c r="F7" s="38" t="s">
        <v>121</v>
      </c>
    </row>
    <row r="8" spans="1:26" x14ac:dyDescent="0.25">
      <c r="A8" s="39" t="s">
        <v>27</v>
      </c>
      <c r="B8" s="40">
        <f>'INFO and ASSUMPTIONS'!B13</f>
        <v>2.7</v>
      </c>
      <c r="C8" s="40">
        <f>'INFO and ASSUMPTIONS'!C13</f>
        <v>61.851851851851855</v>
      </c>
      <c r="D8" s="41">
        <f>B8*C8*365/325851</f>
        <v>0.18706402619602214</v>
      </c>
      <c r="E8" s="41">
        <f>'PROJECT SITE INFORMATION'!B9*'PROJECT SITE INFORMATION'!C9</f>
        <v>0</v>
      </c>
      <c r="F8" s="41">
        <f t="shared" ref="F8:F13" si="0">D8*E8</f>
        <v>0</v>
      </c>
    </row>
    <row r="9" spans="1:26" x14ac:dyDescent="0.25">
      <c r="A9" s="39" t="s">
        <v>33</v>
      </c>
      <c r="B9" s="40">
        <v>1</v>
      </c>
      <c r="C9" s="40">
        <f>'INFO and ASSUMPTIONS'!E13</f>
        <v>103</v>
      </c>
      <c r="D9" s="41">
        <f>B9*C9*365/325851</f>
        <v>0.11537481855203759</v>
      </c>
      <c r="E9" s="41">
        <f>+E8</f>
        <v>0</v>
      </c>
      <c r="F9" s="41">
        <f t="shared" si="0"/>
        <v>0</v>
      </c>
      <c r="Z9" s="42"/>
    </row>
    <row r="10" spans="1:26" x14ac:dyDescent="0.25">
      <c r="A10" s="43" t="s">
        <v>122</v>
      </c>
      <c r="B10" s="43"/>
      <c r="C10" s="44"/>
      <c r="D10" s="45">
        <f>+D8+D9+IF(F20&gt;0,((F20+F21)/E8),0)</f>
        <v>0.30243884474805971</v>
      </c>
      <c r="E10" s="45">
        <f>+E9</f>
        <v>0</v>
      </c>
      <c r="F10" s="45">
        <f t="shared" si="0"/>
        <v>0</v>
      </c>
      <c r="Z10" s="42"/>
    </row>
    <row r="11" spans="1:26" x14ac:dyDescent="0.25">
      <c r="A11" s="39" t="s">
        <v>28</v>
      </c>
      <c r="B11" s="40">
        <f>'INFO and ASSUMPTIONS'!B14</f>
        <v>2.7</v>
      </c>
      <c r="C11" s="40">
        <f>'INFO and ASSUMPTIONS'!C14</f>
        <v>61.851851851851855</v>
      </c>
      <c r="D11" s="41">
        <f>B11*C11*365/325851</f>
        <v>0.18706402619602214</v>
      </c>
      <c r="E11" s="41">
        <f>'PROJECT SITE INFORMATION'!B10*'PROJECT SITE INFORMATION'!C10</f>
        <v>0</v>
      </c>
      <c r="F11" s="41">
        <f t="shared" si="0"/>
        <v>0</v>
      </c>
    </row>
    <row r="12" spans="1:26" x14ac:dyDescent="0.25">
      <c r="A12" s="39" t="s">
        <v>34</v>
      </c>
      <c r="B12" s="40">
        <v>1</v>
      </c>
      <c r="C12" s="40">
        <f>'INFO and ASSUMPTIONS'!E14</f>
        <v>20</v>
      </c>
      <c r="D12" s="41">
        <f>B12*C12*365/325851</f>
        <v>2.2402877388745163E-2</v>
      </c>
      <c r="E12" s="41">
        <f>+E11</f>
        <v>0</v>
      </c>
      <c r="F12" s="41">
        <f t="shared" si="0"/>
        <v>0</v>
      </c>
      <c r="Z12" s="42"/>
    </row>
    <row r="13" spans="1:26" x14ac:dyDescent="0.25">
      <c r="A13" s="43" t="s">
        <v>123</v>
      </c>
      <c r="B13" s="43"/>
      <c r="C13" s="44"/>
      <c r="D13" s="45">
        <f>+D11+D12</f>
        <v>0.2094669035847673</v>
      </c>
      <c r="E13" s="45">
        <f>+E12</f>
        <v>0</v>
      </c>
      <c r="F13" s="45">
        <f t="shared" si="0"/>
        <v>0</v>
      </c>
      <c r="Z13" s="42"/>
    </row>
    <row r="14" spans="1:26" x14ac:dyDescent="0.25">
      <c r="C14" s="42"/>
      <c r="Z14" s="42"/>
    </row>
    <row r="15" spans="1:26" ht="13.8" x14ac:dyDescent="0.3">
      <c r="A15" s="169" t="s">
        <v>124</v>
      </c>
      <c r="C15" s="42"/>
      <c r="Z15" s="42"/>
    </row>
    <row r="16" spans="1:26" ht="13.8" x14ac:dyDescent="0.3">
      <c r="A16" s="169" t="s">
        <v>125</v>
      </c>
      <c r="C16" s="42"/>
      <c r="Z16" s="42"/>
    </row>
    <row r="17" spans="1:26" ht="39.6" x14ac:dyDescent="0.25">
      <c r="A17" s="37"/>
      <c r="B17" s="38" t="s">
        <v>13</v>
      </c>
      <c r="C17" s="38" t="s">
        <v>14</v>
      </c>
      <c r="D17" s="38" t="s">
        <v>12</v>
      </c>
      <c r="E17" s="46" t="s">
        <v>2</v>
      </c>
      <c r="F17" s="46" t="s">
        <v>38</v>
      </c>
      <c r="Z17" s="42"/>
    </row>
    <row r="18" spans="1:26" x14ac:dyDescent="0.25">
      <c r="A18" s="39" t="s">
        <v>35</v>
      </c>
      <c r="B18" s="47" t="e">
        <f>43560/'PROJECT SITE INFORMATION'!C9</f>
        <v>#DIV/0!</v>
      </c>
      <c r="C18" s="47" t="e">
        <f>B18/43560</f>
        <v>#DIV/0!</v>
      </c>
      <c r="Z18" s="42"/>
    </row>
    <row r="19" spans="1:26" ht="39.6" x14ac:dyDescent="0.25">
      <c r="A19" s="48" t="s">
        <v>176</v>
      </c>
      <c r="B19" s="41">
        <v>1E-3</v>
      </c>
      <c r="C19" s="41">
        <f>B19/43560</f>
        <v>2.2956841138659321E-8</v>
      </c>
      <c r="D19" s="49"/>
      <c r="Z19" s="42"/>
    </row>
    <row r="20" spans="1:26" x14ac:dyDescent="0.25">
      <c r="A20" s="39" t="s">
        <v>29</v>
      </c>
      <c r="B20" s="41">
        <f>B19/2</f>
        <v>5.0000000000000001E-4</v>
      </c>
      <c r="C20" s="41">
        <f>B20/43560</f>
        <v>1.147842056932966E-8</v>
      </c>
      <c r="D20" s="50">
        <f>VLOOKUP(A20,'INFO and ASSUMPTIONS'!A$18:B$20,2,FALSE)</f>
        <v>1.5</v>
      </c>
      <c r="E20" s="41">
        <f>E8</f>
        <v>0</v>
      </c>
      <c r="F20" s="45">
        <f>C20*D20*E20</f>
        <v>0</v>
      </c>
      <c r="Z20" s="42"/>
    </row>
    <row r="21" spans="1:26" x14ac:dyDescent="0.25">
      <c r="A21" s="39" t="s">
        <v>32</v>
      </c>
      <c r="B21" s="41">
        <f>B19/2</f>
        <v>5.0000000000000001E-4</v>
      </c>
      <c r="C21" s="41">
        <f>B21/43560</f>
        <v>1.147842056932966E-8</v>
      </c>
      <c r="D21" s="50">
        <f>VLOOKUP(A21,'INFO and ASSUMPTIONS'!A$18:B$20,2,FALSE)</f>
        <v>4.5999999999999996</v>
      </c>
      <c r="E21" s="41">
        <f>+E20</f>
        <v>0</v>
      </c>
      <c r="F21" s="45">
        <f>C21*D21*E21</f>
        <v>0</v>
      </c>
      <c r="Z21" s="42"/>
    </row>
    <row r="22" spans="1:26" ht="15" x14ac:dyDescent="0.25">
      <c r="A22" s="51" t="s">
        <v>16</v>
      </c>
      <c r="B22" s="52">
        <f>F10+F13+F20+F21</f>
        <v>0</v>
      </c>
      <c r="C22" s="51" t="s">
        <v>44</v>
      </c>
      <c r="F22" s="26"/>
    </row>
    <row r="23" spans="1:26" x14ac:dyDescent="0.25">
      <c r="A23" s="26"/>
      <c r="D23" s="53"/>
      <c r="E23" s="34"/>
    </row>
    <row r="24" spans="1:26" ht="15" x14ac:dyDescent="0.25">
      <c r="A24" s="36" t="s">
        <v>3</v>
      </c>
    </row>
    <row r="25" spans="1:26" ht="52.8" x14ac:dyDescent="0.25">
      <c r="A25" s="37" t="s">
        <v>0</v>
      </c>
      <c r="B25" s="38" t="s">
        <v>13</v>
      </c>
      <c r="C25" s="38" t="s">
        <v>26</v>
      </c>
      <c r="D25" s="38" t="s">
        <v>5</v>
      </c>
      <c r="E25" s="46"/>
      <c r="F25" s="38" t="s">
        <v>23</v>
      </c>
      <c r="G25" s="54" t="s">
        <v>147</v>
      </c>
      <c r="H25" s="26"/>
      <c r="I25" s="26"/>
    </row>
    <row r="26" spans="1:26" x14ac:dyDescent="0.25">
      <c r="A26" s="39" t="s">
        <v>31</v>
      </c>
      <c r="B26" s="55">
        <f>C26*43560</f>
        <v>0</v>
      </c>
      <c r="C26" s="41">
        <f>'PROJECT SITE INFORMATION'!C18</f>
        <v>0</v>
      </c>
      <c r="D26" s="50">
        <f>VLOOKUP(E26,'INFO and ASSUMPTIONS'!A$18:B$20,2,FALSE)</f>
        <v>5.8</v>
      </c>
      <c r="E26" s="39" t="s">
        <v>87</v>
      </c>
      <c r="F26" s="41">
        <f>C26*D26</f>
        <v>0</v>
      </c>
      <c r="G26" s="56" t="s">
        <v>148</v>
      </c>
      <c r="H26" s="26"/>
      <c r="I26" s="26"/>
    </row>
    <row r="27" spans="1:26" x14ac:dyDescent="0.25">
      <c r="A27" s="39" t="s">
        <v>30</v>
      </c>
      <c r="B27" s="55">
        <f t="shared" ref="B27:B46" si="1">C27*43560</f>
        <v>0</v>
      </c>
      <c r="C27" s="41">
        <f>'PROJECT SITE INFORMATION'!D18</f>
        <v>0</v>
      </c>
      <c r="D27" s="50">
        <f>VLOOKUP(E27,'INFO and ASSUMPTIONS'!A$18:B$20,2,FALSE)</f>
        <v>4.5999999999999996</v>
      </c>
      <c r="E27" s="39" t="s">
        <v>32</v>
      </c>
      <c r="F27" s="41">
        <f t="shared" ref="F27:F46" si="2">C27*D27</f>
        <v>0</v>
      </c>
      <c r="G27" s="57" t="s">
        <v>148</v>
      </c>
      <c r="H27" s="26"/>
      <c r="I27" s="26"/>
    </row>
    <row r="28" spans="1:26" x14ac:dyDescent="0.25">
      <c r="A28" s="39" t="s">
        <v>104</v>
      </c>
      <c r="B28" s="55">
        <f t="shared" si="1"/>
        <v>0</v>
      </c>
      <c r="C28" s="41">
        <f>'PROJECT SITE INFORMATION'!E18</f>
        <v>0</v>
      </c>
      <c r="D28" s="50">
        <f>VLOOKUP(E28,'INFO and ASSUMPTIONS'!A$18:B$20,2,FALSE)</f>
        <v>1.5</v>
      </c>
      <c r="E28" s="39" t="s">
        <v>29</v>
      </c>
      <c r="F28" s="41">
        <f>C28*D28</f>
        <v>0</v>
      </c>
      <c r="G28" s="57" t="s">
        <v>148</v>
      </c>
      <c r="H28" s="26"/>
      <c r="I28" s="26"/>
    </row>
    <row r="29" spans="1:26" x14ac:dyDescent="0.25">
      <c r="A29" s="39" t="s">
        <v>105</v>
      </c>
      <c r="B29" s="55">
        <f t="shared" si="1"/>
        <v>0</v>
      </c>
      <c r="C29" s="41">
        <f>'PROJECT SITE INFORMATION'!C15</f>
        <v>0</v>
      </c>
      <c r="D29" s="50">
        <f>VLOOKUP(E29,'INFO and ASSUMPTIONS'!A$18:B$20,2,FALSE)</f>
        <v>5.8</v>
      </c>
      <c r="E29" s="39" t="s">
        <v>87</v>
      </c>
      <c r="F29" s="41">
        <f>C29*D29</f>
        <v>0</v>
      </c>
      <c r="G29" s="57" t="s">
        <v>148</v>
      </c>
      <c r="H29" s="26"/>
      <c r="I29" s="26"/>
    </row>
    <row r="30" spans="1:26" x14ac:dyDescent="0.25">
      <c r="A30" s="39" t="s">
        <v>106</v>
      </c>
      <c r="B30" s="55">
        <f t="shared" si="1"/>
        <v>0</v>
      </c>
      <c r="C30" s="41">
        <f>'PROJECT SITE INFORMATION'!D15</f>
        <v>0</v>
      </c>
      <c r="D30" s="50">
        <f>VLOOKUP(E30,'INFO and ASSUMPTIONS'!A$18:B$20,2,FALSE)</f>
        <v>4.5999999999999996</v>
      </c>
      <c r="E30" s="39" t="s">
        <v>32</v>
      </c>
      <c r="F30" s="41">
        <f t="shared" si="2"/>
        <v>0</v>
      </c>
      <c r="G30" s="57" t="s">
        <v>148</v>
      </c>
      <c r="H30" s="26"/>
      <c r="I30" s="26"/>
    </row>
    <row r="31" spans="1:26" x14ac:dyDescent="0.25">
      <c r="A31" s="39" t="s">
        <v>107</v>
      </c>
      <c r="B31" s="55">
        <f t="shared" si="1"/>
        <v>0</v>
      </c>
      <c r="C31" s="41">
        <f>'PROJECT SITE INFORMATION'!E15</f>
        <v>0</v>
      </c>
      <c r="D31" s="50">
        <f>VLOOKUP(E31,'INFO and ASSUMPTIONS'!A$18:B$20,2,FALSE)</f>
        <v>1.5</v>
      </c>
      <c r="E31" s="39" t="s">
        <v>29</v>
      </c>
      <c r="F31" s="41">
        <f t="shared" si="2"/>
        <v>0</v>
      </c>
      <c r="G31" s="57" t="s">
        <v>148</v>
      </c>
      <c r="H31" s="26"/>
      <c r="I31" s="26"/>
    </row>
    <row r="32" spans="1:26" x14ac:dyDescent="0.25">
      <c r="A32" s="39" t="s">
        <v>88</v>
      </c>
      <c r="B32" s="55">
        <f t="shared" si="1"/>
        <v>0</v>
      </c>
      <c r="C32" s="41">
        <f>'PROJECT SITE INFORMATION'!C17</f>
        <v>0</v>
      </c>
      <c r="D32" s="50">
        <f>VLOOKUP(E32,'INFO and ASSUMPTIONS'!A$18:B$20,2,FALSE)</f>
        <v>5.8</v>
      </c>
      <c r="E32" s="39" t="s">
        <v>87</v>
      </c>
      <c r="F32" s="41">
        <f t="shared" si="2"/>
        <v>0</v>
      </c>
      <c r="G32" s="57" t="s">
        <v>148</v>
      </c>
      <c r="H32" s="26"/>
      <c r="I32" s="26"/>
    </row>
    <row r="33" spans="1:9" x14ac:dyDescent="0.25">
      <c r="A33" s="39" t="s">
        <v>89</v>
      </c>
      <c r="B33" s="55">
        <f t="shared" si="1"/>
        <v>0</v>
      </c>
      <c r="C33" s="41">
        <f>'PROJECT SITE INFORMATION'!D17</f>
        <v>0</v>
      </c>
      <c r="D33" s="50">
        <f>VLOOKUP(E33,'INFO and ASSUMPTIONS'!A$18:B$20,2,FALSE)</f>
        <v>4.5999999999999996</v>
      </c>
      <c r="E33" s="39" t="s">
        <v>32</v>
      </c>
      <c r="F33" s="41">
        <f t="shared" si="2"/>
        <v>0</v>
      </c>
      <c r="G33" s="57" t="s">
        <v>148</v>
      </c>
      <c r="H33" s="26"/>
      <c r="I33" s="26"/>
    </row>
    <row r="34" spans="1:9" x14ac:dyDescent="0.25">
      <c r="A34" s="39" t="s">
        <v>90</v>
      </c>
      <c r="B34" s="55">
        <f t="shared" si="1"/>
        <v>0</v>
      </c>
      <c r="C34" s="41">
        <f>'PROJECT SITE INFORMATION'!E17</f>
        <v>0</v>
      </c>
      <c r="D34" s="50">
        <f>VLOOKUP(E34,'INFO and ASSUMPTIONS'!A$18:B$20,2,FALSE)</f>
        <v>1.5</v>
      </c>
      <c r="E34" s="39" t="s">
        <v>29</v>
      </c>
      <c r="F34" s="41">
        <f t="shared" si="2"/>
        <v>0</v>
      </c>
      <c r="G34" s="57" t="s">
        <v>148</v>
      </c>
      <c r="H34" s="26"/>
      <c r="I34" s="26"/>
    </row>
    <row r="35" spans="1:9" x14ac:dyDescent="0.25">
      <c r="A35" s="39" t="s">
        <v>108</v>
      </c>
      <c r="B35" s="55">
        <f t="shared" si="1"/>
        <v>0</v>
      </c>
      <c r="C35" s="41">
        <f>'PROJECT SITE INFORMATION'!C16</f>
        <v>0</v>
      </c>
      <c r="D35" s="50">
        <f>VLOOKUP(E35,'INFO and ASSUMPTIONS'!A$18:B$20,2,FALSE)</f>
        <v>5.8</v>
      </c>
      <c r="E35" s="39" t="s">
        <v>87</v>
      </c>
      <c r="F35" s="41">
        <f t="shared" si="2"/>
        <v>0</v>
      </c>
      <c r="G35" s="57" t="s">
        <v>148</v>
      </c>
      <c r="H35" s="26"/>
      <c r="I35" s="26"/>
    </row>
    <row r="36" spans="1:9" x14ac:dyDescent="0.25">
      <c r="A36" s="39" t="s">
        <v>109</v>
      </c>
      <c r="B36" s="55">
        <f t="shared" si="1"/>
        <v>0</v>
      </c>
      <c r="C36" s="41">
        <f>'PROJECT SITE INFORMATION'!D16</f>
        <v>0</v>
      </c>
      <c r="D36" s="50">
        <f>VLOOKUP(E36,'INFO and ASSUMPTIONS'!A$18:B$20,2,FALSE)</f>
        <v>4.5999999999999996</v>
      </c>
      <c r="E36" s="39" t="s">
        <v>32</v>
      </c>
      <c r="F36" s="41">
        <f t="shared" si="2"/>
        <v>0</v>
      </c>
      <c r="G36" s="57" t="s">
        <v>148</v>
      </c>
      <c r="H36" s="26"/>
      <c r="I36" s="26"/>
    </row>
    <row r="37" spans="1:9" x14ac:dyDescent="0.25">
      <c r="A37" s="39" t="s">
        <v>110</v>
      </c>
      <c r="B37" s="55">
        <f t="shared" si="1"/>
        <v>0</v>
      </c>
      <c r="C37" s="41">
        <f>'PROJECT SITE INFORMATION'!E16</f>
        <v>0</v>
      </c>
      <c r="D37" s="50">
        <f>VLOOKUP(E37,'INFO and ASSUMPTIONS'!A$18:B$20,2,FALSE)</f>
        <v>1.5</v>
      </c>
      <c r="E37" s="39" t="s">
        <v>29</v>
      </c>
      <c r="F37" s="41">
        <f t="shared" si="2"/>
        <v>0</v>
      </c>
      <c r="G37" s="57" t="s">
        <v>148</v>
      </c>
      <c r="H37" s="26"/>
      <c r="I37" s="26"/>
    </row>
    <row r="38" spans="1:9" x14ac:dyDescent="0.25">
      <c r="A38" s="39" t="s">
        <v>113</v>
      </c>
      <c r="B38" s="55">
        <f t="shared" si="1"/>
        <v>0</v>
      </c>
      <c r="C38" s="41">
        <f>'PROJECT SITE INFORMATION'!C21</f>
        <v>0</v>
      </c>
      <c r="D38" s="50">
        <f>VLOOKUP(E38,'INFO and ASSUMPTIONS'!A$18:B$20,2,FALSE)</f>
        <v>5.8</v>
      </c>
      <c r="E38" s="39" t="s">
        <v>87</v>
      </c>
      <c r="F38" s="41">
        <f t="shared" si="2"/>
        <v>0</v>
      </c>
      <c r="G38" s="57" t="s">
        <v>148</v>
      </c>
      <c r="H38" s="26"/>
      <c r="I38" s="26"/>
    </row>
    <row r="39" spans="1:9" x14ac:dyDescent="0.25">
      <c r="A39" s="39" t="s">
        <v>39</v>
      </c>
      <c r="B39" s="55">
        <f t="shared" si="1"/>
        <v>0</v>
      </c>
      <c r="C39" s="41">
        <f>'PROJECT SITE INFORMATION'!C19</f>
        <v>0</v>
      </c>
      <c r="D39" s="50">
        <f>VLOOKUP(E39,'INFO and ASSUMPTIONS'!A$18:B$20,2,FALSE)</f>
        <v>5.8</v>
      </c>
      <c r="E39" s="39" t="s">
        <v>87</v>
      </c>
      <c r="F39" s="41">
        <f t="shared" si="2"/>
        <v>0</v>
      </c>
      <c r="G39" s="57" t="s">
        <v>148</v>
      </c>
      <c r="H39" s="26"/>
      <c r="I39" s="26"/>
    </row>
    <row r="40" spans="1:9" x14ac:dyDescent="0.25">
      <c r="A40" s="39" t="s">
        <v>40</v>
      </c>
      <c r="B40" s="55">
        <f t="shared" si="1"/>
        <v>0</v>
      </c>
      <c r="C40" s="41">
        <f>'PROJECT SITE INFORMATION'!D19</f>
        <v>0</v>
      </c>
      <c r="D40" s="50">
        <f>VLOOKUP(E40,'INFO and ASSUMPTIONS'!A$18:B$20,2,FALSE)</f>
        <v>4.5999999999999996</v>
      </c>
      <c r="E40" s="39" t="s">
        <v>32</v>
      </c>
      <c r="F40" s="41">
        <f t="shared" si="2"/>
        <v>0</v>
      </c>
      <c r="G40" s="57" t="s">
        <v>148</v>
      </c>
      <c r="H40" s="26"/>
      <c r="I40" s="26"/>
    </row>
    <row r="41" spans="1:9" x14ac:dyDescent="0.25">
      <c r="A41" s="39" t="s">
        <v>114</v>
      </c>
      <c r="B41" s="55">
        <f t="shared" si="1"/>
        <v>0</v>
      </c>
      <c r="C41" s="41">
        <f>'PROJECT SITE INFORMATION'!E19</f>
        <v>0</v>
      </c>
      <c r="D41" s="50">
        <f>VLOOKUP(E41,'INFO and ASSUMPTIONS'!A$18:B$20,2,FALSE)</f>
        <v>1.5</v>
      </c>
      <c r="E41" s="39" t="s">
        <v>29</v>
      </c>
      <c r="F41" s="41">
        <f t="shared" si="2"/>
        <v>0</v>
      </c>
      <c r="G41" s="57" t="s">
        <v>148</v>
      </c>
      <c r="H41" s="26"/>
      <c r="I41" s="26"/>
    </row>
    <row r="42" spans="1:9" x14ac:dyDescent="0.25">
      <c r="A42" s="39" t="s">
        <v>115</v>
      </c>
      <c r="B42" s="55">
        <f t="shared" si="1"/>
        <v>0</v>
      </c>
      <c r="C42" s="41">
        <f>'PROJECT SITE INFORMATION'!D22</f>
        <v>0</v>
      </c>
      <c r="D42" s="50">
        <f>VLOOKUP(E42,'INFO and ASSUMPTIONS'!A$18:B$20,2,FALSE)</f>
        <v>4.5999999999999996</v>
      </c>
      <c r="E42" s="39" t="s">
        <v>32</v>
      </c>
      <c r="F42" s="41">
        <f t="shared" si="2"/>
        <v>0</v>
      </c>
      <c r="G42" s="57" t="s">
        <v>148</v>
      </c>
      <c r="H42" s="26"/>
      <c r="I42" s="26"/>
    </row>
    <row r="43" spans="1:9" x14ac:dyDescent="0.25">
      <c r="A43" s="39" t="s">
        <v>116</v>
      </c>
      <c r="B43" s="55">
        <f t="shared" si="1"/>
        <v>0</v>
      </c>
      <c r="C43" s="41">
        <f>'PROJECT SITE INFORMATION'!E22</f>
        <v>0</v>
      </c>
      <c r="D43" s="50">
        <f>VLOOKUP(E43,'INFO and ASSUMPTIONS'!A$18:B$20,2,FALSE)</f>
        <v>1.5</v>
      </c>
      <c r="E43" s="39" t="s">
        <v>29</v>
      </c>
      <c r="F43" s="41">
        <f t="shared" si="2"/>
        <v>0</v>
      </c>
      <c r="G43" s="57" t="s">
        <v>148</v>
      </c>
      <c r="H43" s="26"/>
      <c r="I43" s="26"/>
    </row>
    <row r="44" spans="1:9" x14ac:dyDescent="0.25">
      <c r="A44" s="39" t="s">
        <v>36</v>
      </c>
      <c r="B44" s="55">
        <f t="shared" si="1"/>
        <v>0</v>
      </c>
      <c r="C44" s="41">
        <f>'PROJECT SITE INFORMATION'!C20</f>
        <v>0</v>
      </c>
      <c r="D44" s="50">
        <f>VLOOKUP(E44,'INFO and ASSUMPTIONS'!A$18:B$20,2,FALSE)</f>
        <v>5.8</v>
      </c>
      <c r="E44" s="39" t="s">
        <v>87</v>
      </c>
      <c r="F44" s="41">
        <f t="shared" si="2"/>
        <v>0</v>
      </c>
      <c r="G44" s="57" t="s">
        <v>148</v>
      </c>
      <c r="H44" s="26"/>
      <c r="I44" s="26"/>
    </row>
    <row r="45" spans="1:9" x14ac:dyDescent="0.25">
      <c r="A45" s="39" t="s">
        <v>37</v>
      </c>
      <c r="B45" s="55">
        <f t="shared" si="1"/>
        <v>0</v>
      </c>
      <c r="C45" s="41">
        <f>'PROJECT SITE INFORMATION'!D20</f>
        <v>0</v>
      </c>
      <c r="D45" s="50">
        <f>VLOOKUP(E45,'INFO and ASSUMPTIONS'!A$18:B$20,2,FALSE)</f>
        <v>4.5999999999999996</v>
      </c>
      <c r="E45" s="39" t="s">
        <v>32</v>
      </c>
      <c r="F45" s="41">
        <f t="shared" si="2"/>
        <v>0</v>
      </c>
      <c r="G45" s="57" t="s">
        <v>148</v>
      </c>
      <c r="H45" s="26"/>
      <c r="I45" s="26"/>
    </row>
    <row r="46" spans="1:9" x14ac:dyDescent="0.25">
      <c r="A46" s="39" t="s">
        <v>117</v>
      </c>
      <c r="B46" s="55">
        <f t="shared" si="1"/>
        <v>0</v>
      </c>
      <c r="C46" s="41">
        <f>'PROJECT SITE INFORMATION'!E20</f>
        <v>0</v>
      </c>
      <c r="D46" s="50">
        <f>VLOOKUP(E46,'INFO and ASSUMPTIONS'!A$18:B$20,2,FALSE)</f>
        <v>1.5</v>
      </c>
      <c r="E46" s="39" t="s">
        <v>29</v>
      </c>
      <c r="F46" s="41">
        <f t="shared" si="2"/>
        <v>0</v>
      </c>
      <c r="G46" s="57" t="s">
        <v>148</v>
      </c>
      <c r="H46" s="26"/>
      <c r="I46" s="26"/>
    </row>
    <row r="47" spans="1:9" x14ac:dyDescent="0.25">
      <c r="B47" s="34" t="s">
        <v>63</v>
      </c>
      <c r="C47" s="34"/>
      <c r="D47" s="53"/>
      <c r="H47" s="26"/>
      <c r="I47" s="26"/>
    </row>
    <row r="48" spans="1:9" x14ac:dyDescent="0.25">
      <c r="A48" s="24" t="s">
        <v>69</v>
      </c>
      <c r="B48" s="58">
        <f>'PROJECT SITE INFORMATION'!B26</f>
        <v>0</v>
      </c>
      <c r="C48" s="50">
        <f>'INFO and ASSUMPTIONS'!B22</f>
        <v>25</v>
      </c>
      <c r="D48" s="53"/>
      <c r="F48" s="41">
        <f>+B48*C48*365/325851</f>
        <v>0</v>
      </c>
      <c r="H48" s="26"/>
      <c r="I48" s="26"/>
    </row>
    <row r="49" spans="1:6" x14ac:dyDescent="0.25">
      <c r="A49" s="24" t="s">
        <v>64</v>
      </c>
      <c r="B49" s="58">
        <f>'PROJECT SITE INFORMATION'!B27</f>
        <v>0</v>
      </c>
      <c r="C49" s="50">
        <f>'INFO and ASSUMPTIONS'!B23</f>
        <v>43</v>
      </c>
      <c r="D49" s="53"/>
      <c r="F49" s="41">
        <f>+B49*C49*365/325851</f>
        <v>0</v>
      </c>
    </row>
    <row r="50" spans="1:6" ht="15" x14ac:dyDescent="0.25">
      <c r="A50" s="51" t="s">
        <v>179</v>
      </c>
      <c r="B50" s="51">
        <f>SUM(F26:F49)</f>
        <v>0</v>
      </c>
      <c r="C50" s="51" t="s">
        <v>44</v>
      </c>
      <c r="F50" s="26"/>
    </row>
    <row r="52" spans="1:6" ht="26.4" x14ac:dyDescent="0.25">
      <c r="A52" s="59" t="s">
        <v>6</v>
      </c>
      <c r="B52" s="60" t="s">
        <v>8</v>
      </c>
      <c r="C52" s="60" t="s">
        <v>21</v>
      </c>
      <c r="D52" s="60" t="s">
        <v>9</v>
      </c>
      <c r="E52" s="60" t="s">
        <v>17</v>
      </c>
      <c r="F52" s="60" t="s">
        <v>24</v>
      </c>
    </row>
    <row r="53" spans="1:6" x14ac:dyDescent="0.25">
      <c r="A53" s="39" t="s">
        <v>7</v>
      </c>
      <c r="B53" s="39">
        <f>B22</f>
        <v>0</v>
      </c>
      <c r="C53" s="39">
        <f>B50</f>
        <v>0</v>
      </c>
      <c r="D53" s="39">
        <f>B53+C53</f>
        <v>0</v>
      </c>
      <c r="E53" s="61">
        <v>7</v>
      </c>
      <c r="F53" s="43">
        <f>D53*E53/100</f>
        <v>0</v>
      </c>
    </row>
    <row r="55" spans="1:6" ht="26.4" x14ac:dyDescent="0.25">
      <c r="A55" s="59" t="s">
        <v>10</v>
      </c>
      <c r="B55" s="60" t="s">
        <v>18</v>
      </c>
      <c r="C55" s="60" t="s">
        <v>19</v>
      </c>
      <c r="D55" s="60" t="s">
        <v>20</v>
      </c>
      <c r="E55" s="60"/>
      <c r="F55" s="60" t="s">
        <v>25</v>
      </c>
    </row>
    <row r="56" spans="1:6" x14ac:dyDescent="0.25">
      <c r="A56" s="39"/>
      <c r="B56" s="39">
        <f>+E8+E11</f>
        <v>0</v>
      </c>
      <c r="C56" s="39">
        <v>10000</v>
      </c>
      <c r="D56" s="39">
        <f>B56*C56/325851+SUM(C26:C46)*43560/325851</f>
        <v>0</v>
      </c>
      <c r="E56" s="39"/>
      <c r="F56" s="62">
        <f>D56/100</f>
        <v>0</v>
      </c>
    </row>
    <row r="58" spans="1:6" x14ac:dyDescent="0.25">
      <c r="A58" s="27" t="s">
        <v>11</v>
      </c>
    </row>
    <row r="59" spans="1:6" ht="39.6" x14ac:dyDescent="0.25">
      <c r="A59" s="63" t="s">
        <v>214</v>
      </c>
      <c r="B59" s="64" t="s">
        <v>3</v>
      </c>
      <c r="C59" s="64" t="s">
        <v>146</v>
      </c>
      <c r="D59" s="64" t="s">
        <v>10</v>
      </c>
      <c r="E59" s="65" t="s">
        <v>22</v>
      </c>
      <c r="F59" s="66" t="s">
        <v>15</v>
      </c>
    </row>
    <row r="60" spans="1:6" x14ac:dyDescent="0.25">
      <c r="A60" s="43">
        <f>B22</f>
        <v>0</v>
      </c>
      <c r="B60" s="43">
        <f>B50</f>
        <v>0</v>
      </c>
      <c r="C60" s="43">
        <f>F53</f>
        <v>0</v>
      </c>
      <c r="D60" s="62">
        <f>F56</f>
        <v>0</v>
      </c>
      <c r="E60" s="43">
        <f>B60+C60+D60</f>
        <v>0</v>
      </c>
      <c r="F60" s="43">
        <f>A60+B60+C60+D60</f>
        <v>0</v>
      </c>
    </row>
    <row r="61" spans="1:6" x14ac:dyDescent="0.25">
      <c r="A61" s="59" t="s">
        <v>215</v>
      </c>
      <c r="F61" s="59" t="s">
        <v>216</v>
      </c>
    </row>
    <row r="62" spans="1:6" x14ac:dyDescent="0.25">
      <c r="A62" s="67" t="e">
        <f>+B22/((B8*E8)+(B11*E11))*325851/365</f>
        <v>#DIV/0!</v>
      </c>
      <c r="C62" s="68" t="s">
        <v>178</v>
      </c>
      <c r="D62" s="69"/>
      <c r="E62" s="70"/>
      <c r="F62" s="67" t="e">
        <f>+F60/((B8*E8)+(B11*E11))*325851/365</f>
        <v>#DIV/0!</v>
      </c>
    </row>
    <row r="63" spans="1:6" x14ac:dyDescent="0.25">
      <c r="A63" s="34"/>
      <c r="C63" s="71">
        <f>B50-SUMIF(G26:G46,"N",F26:F46)</f>
        <v>0</v>
      </c>
      <c r="D63" s="72" t="s">
        <v>112</v>
      </c>
    </row>
    <row r="64" spans="1:6" x14ac:dyDescent="0.25">
      <c r="A64" s="34"/>
      <c r="F64" s="27"/>
    </row>
    <row r="65" spans="1:2" x14ac:dyDescent="0.25">
      <c r="A65" s="27"/>
    </row>
    <row r="66" spans="1:2" x14ac:dyDescent="0.25">
      <c r="B66" s="73"/>
    </row>
  </sheetData>
  <sheetProtection algorithmName="SHA-512" hashValue="OcKtRwcjGiCHGYfkiIH8mfUpQHiXdLJpUATidJ+QDWMiBpTNwzV+0xlGjYNKg2OX01sYMurmIDYcQ/M0qOPeIg==" saltValue="Rgx+yvflaE73a0LqnFmLrA==" spinCount="100000" sheet="1" objects="1" scenarios="1" selectLockedCells="1" selectUnlockedCells="1"/>
  <mergeCells count="1">
    <mergeCell ref="B3:D3"/>
  </mergeCells>
  <phoneticPr fontId="2" type="noConversion"/>
  <pageMargins left="0.7" right="0.7" top="0.75" bottom="0.75" header="0.3" footer="0.3"/>
  <pageSetup scale="70" orientation="portrait" horizontalDpi="300" verticalDpi="300" r:id="rId1"/>
  <headerFooter alignWithMargins="0">
    <oddHeader>&amp;C&amp;"Century Gothic,Bold"&amp;14Project Demand Calcluator</oddHeader>
    <oddFooter>&amp;L&amp;F
Printed: &amp;D &amp;T&amp;CMarana Sudivision Demand Calculator
Results&amp;RPage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zoomScale="85" zoomScaleNormal="100" zoomScaleSheetLayoutView="85" zoomScalePageLayoutView="85" workbookViewId="0">
      <selection activeCell="B6" sqref="B6"/>
    </sheetView>
    <sheetView view="pageLayout" zoomScaleNormal="100" workbookViewId="1">
      <selection activeCell="B4" sqref="B4"/>
    </sheetView>
  </sheetViews>
  <sheetFormatPr defaultColWidth="9.109375" defaultRowHeight="13.8" x14ac:dyDescent="0.25"/>
  <cols>
    <col min="1" max="1" width="5.109375" style="74" bestFit="1" customWidth="1"/>
    <col min="2" max="2" width="16.88671875" style="74" customWidth="1"/>
    <col min="3" max="3" width="13.88671875" style="74" bestFit="1" customWidth="1"/>
    <col min="4" max="4" width="12.88671875" style="74" customWidth="1"/>
    <col min="5" max="5" width="15.5546875" style="74" customWidth="1"/>
    <col min="6" max="6" width="12.44140625" style="74" customWidth="1"/>
    <col min="7" max="7" width="17" style="74" bestFit="1" customWidth="1"/>
    <col min="8" max="8" width="12.5546875" style="74" customWidth="1"/>
    <col min="9" max="9" width="12.88671875" style="74" customWidth="1"/>
    <col min="10" max="10" width="12.5546875" style="74" customWidth="1"/>
    <col min="11" max="11" width="15.33203125" style="74" bestFit="1" customWidth="1"/>
    <col min="12" max="12" width="19.6640625" style="74" bestFit="1" customWidth="1"/>
    <col min="13" max="13" width="19.88671875" style="74" bestFit="1" customWidth="1"/>
    <col min="14" max="14" width="16.5546875" style="74" customWidth="1"/>
    <col min="15" max="15" width="11.5546875" style="74" bestFit="1" customWidth="1"/>
    <col min="16" max="16384" width="9.109375" style="74"/>
  </cols>
  <sheetData>
    <row r="1" spans="1:9" ht="14.4" thickBot="1" x14ac:dyDescent="0.3">
      <c r="C1" s="142"/>
      <c r="G1" s="75"/>
    </row>
    <row r="2" spans="1:9" ht="28.2" thickBot="1" x14ac:dyDescent="0.3">
      <c r="A2" s="76" t="s">
        <v>180</v>
      </c>
      <c r="B2" s="77" t="s">
        <v>213</v>
      </c>
      <c r="C2" s="142"/>
      <c r="D2" s="78" t="s">
        <v>212</v>
      </c>
      <c r="E2" s="79"/>
      <c r="F2" s="79"/>
      <c r="G2" s="80">
        <f>E32-G32</f>
        <v>0</v>
      </c>
    </row>
    <row r="3" spans="1:9" x14ac:dyDescent="0.25">
      <c r="A3" s="81" t="s">
        <v>168</v>
      </c>
      <c r="B3" s="19">
        <v>0</v>
      </c>
      <c r="C3" s="1"/>
    </row>
    <row r="4" spans="1:9" x14ac:dyDescent="0.25">
      <c r="A4" s="81" t="s">
        <v>169</v>
      </c>
      <c r="B4" s="19">
        <v>0</v>
      </c>
      <c r="C4" s="82"/>
    </row>
    <row r="5" spans="1:9" x14ac:dyDescent="0.25">
      <c r="A5" s="81" t="s">
        <v>170</v>
      </c>
      <c r="B5" s="19">
        <v>0</v>
      </c>
      <c r="D5" s="83" t="s">
        <v>193</v>
      </c>
      <c r="E5" s="83"/>
      <c r="F5" s="83"/>
      <c r="G5" s="84" t="str">
        <f>'PROJECT SITE INFORMATION'!B5</f>
        <v>North Marana</v>
      </c>
    </row>
    <row r="6" spans="1:9" x14ac:dyDescent="0.25">
      <c r="A6" s="81" t="s">
        <v>171</v>
      </c>
      <c r="B6" s="19">
        <v>0</v>
      </c>
      <c r="D6" s="143" t="s">
        <v>192</v>
      </c>
      <c r="E6" s="143"/>
      <c r="F6" s="143"/>
      <c r="G6" s="84">
        <v>20</v>
      </c>
    </row>
    <row r="7" spans="1:9" ht="14.4" thickBot="1" x14ac:dyDescent="0.3">
      <c r="A7" s="85" t="s">
        <v>172</v>
      </c>
      <c r="B7" s="20">
        <v>0</v>
      </c>
      <c r="D7" s="143" t="s">
        <v>195</v>
      </c>
      <c r="E7" s="143"/>
      <c r="F7" s="143"/>
      <c r="G7" s="144">
        <f>'PROJECT DEMAND CALCULATOR'!C63*325851</f>
        <v>0</v>
      </c>
    </row>
    <row r="8" spans="1:9" x14ac:dyDescent="0.25">
      <c r="E8" s="86"/>
      <c r="F8" s="86"/>
    </row>
    <row r="10" spans="1:9" ht="16.5" customHeight="1" x14ac:dyDescent="0.25">
      <c r="C10" s="87" t="s">
        <v>164</v>
      </c>
      <c r="D10" s="87"/>
      <c r="E10" s="87"/>
      <c r="F10" s="87"/>
      <c r="G10" s="87"/>
      <c r="H10" s="87"/>
    </row>
    <row r="11" spans="1:9" ht="17.25" customHeight="1" thickBot="1" x14ac:dyDescent="0.3">
      <c r="C11" s="88"/>
      <c r="D11" s="88"/>
      <c r="E11" s="88"/>
      <c r="F11" s="88"/>
      <c r="G11" s="88"/>
      <c r="H11" s="88"/>
    </row>
    <row r="12" spans="1:9" x14ac:dyDescent="0.25">
      <c r="C12" s="89" t="s">
        <v>209</v>
      </c>
      <c r="D12" s="90"/>
      <c r="E12" s="90"/>
      <c r="F12" s="90"/>
      <c r="G12" s="90"/>
      <c r="H12" s="91"/>
    </row>
    <row r="13" spans="1:9" x14ac:dyDescent="0.25">
      <c r="C13" s="92"/>
      <c r="E13" s="93" t="s">
        <v>198</v>
      </c>
      <c r="F13" s="93"/>
      <c r="G13" s="93" t="s">
        <v>197</v>
      </c>
      <c r="H13" s="94"/>
      <c r="I13" s="75"/>
    </row>
    <row r="14" spans="1:9" x14ac:dyDescent="0.25">
      <c r="C14" s="95" t="s">
        <v>181</v>
      </c>
      <c r="D14" s="96"/>
      <c r="E14" s="145">
        <f>SUMPRODUCT($B$3:$B$7,$B$38:$B$42)</f>
        <v>0</v>
      </c>
      <c r="F14" s="145"/>
      <c r="G14" s="146">
        <f>SUMPRODUCT($B$3:$B$7,$C$38:$C$42)</f>
        <v>0</v>
      </c>
      <c r="H14" s="147"/>
      <c r="I14" s="148"/>
    </row>
    <row r="15" spans="1:9" x14ac:dyDescent="0.25">
      <c r="C15" s="97" t="s">
        <v>182</v>
      </c>
      <c r="D15" s="98"/>
      <c r="E15" s="149">
        <f>SUMPRODUCT($B$3:$B$7,$D$38:$D$42)</f>
        <v>0</v>
      </c>
      <c r="F15" s="149"/>
      <c r="G15" s="150">
        <f>SUMPRODUCT($B$3:$B$7,$E$38:$E$42)</f>
        <v>0</v>
      </c>
      <c r="H15" s="151"/>
      <c r="I15" s="148"/>
    </row>
    <row r="16" spans="1:9" x14ac:dyDescent="0.25">
      <c r="C16" s="99" t="s">
        <v>183</v>
      </c>
      <c r="D16" s="83"/>
      <c r="E16" s="149">
        <f>SUMPRODUCT($B$3:$B$7,$F$38:$F$42)</f>
        <v>0</v>
      </c>
      <c r="F16" s="149"/>
      <c r="G16" s="150" t="s">
        <v>218</v>
      </c>
      <c r="H16" s="151"/>
      <c r="I16" s="148"/>
    </row>
    <row r="17" spans="3:14" ht="14.4" thickBot="1" x14ac:dyDescent="0.3">
      <c r="C17" s="100" t="s">
        <v>190</v>
      </c>
      <c r="D17" s="101"/>
      <c r="E17" s="152">
        <f>SUMPRODUCT($B$3:$B$7,$H$38:$H$42)</f>
        <v>0</v>
      </c>
      <c r="F17" s="152"/>
      <c r="G17" s="153">
        <f>SUMPRODUCT($B$3:$B$7,$I$38:$I$42)</f>
        <v>0</v>
      </c>
      <c r="H17" s="154"/>
      <c r="I17" s="148"/>
    </row>
    <row r="18" spans="3:14" x14ac:dyDescent="0.25">
      <c r="C18" s="102" t="s">
        <v>199</v>
      </c>
      <c r="D18" s="103"/>
      <c r="E18" s="155">
        <f>SUM(E14:E17)</f>
        <v>0</v>
      </c>
      <c r="F18" s="155"/>
      <c r="G18" s="156">
        <f>SUM(G14:G17)</f>
        <v>0</v>
      </c>
      <c r="H18" s="157"/>
      <c r="I18" s="148"/>
    </row>
    <row r="19" spans="3:14" x14ac:dyDescent="0.25">
      <c r="C19" s="92"/>
      <c r="H19" s="104"/>
      <c r="I19" s="148"/>
    </row>
    <row r="20" spans="3:14" x14ac:dyDescent="0.25">
      <c r="C20" s="105" t="s">
        <v>203</v>
      </c>
      <c r="D20" s="86"/>
      <c r="E20" s="86"/>
      <c r="F20" s="86"/>
      <c r="G20" s="86"/>
      <c r="H20" s="106"/>
      <c r="I20" s="158"/>
    </row>
    <row r="21" spans="3:14" x14ac:dyDescent="0.25">
      <c r="C21" s="107"/>
      <c r="D21" s="108"/>
      <c r="E21" s="93" t="s">
        <v>198</v>
      </c>
      <c r="F21" s="93"/>
      <c r="G21" s="93" t="s">
        <v>197</v>
      </c>
      <c r="H21" s="94"/>
      <c r="I21" s="75"/>
    </row>
    <row r="22" spans="3:14" x14ac:dyDescent="0.25">
      <c r="C22" s="109"/>
      <c r="D22" s="110" t="s">
        <v>201</v>
      </c>
      <c r="E22" s="145">
        <f>SUMPRODUCT($B$3:$B$7,$B$46:$B$50)</f>
        <v>0</v>
      </c>
      <c r="F22" s="145"/>
      <c r="G22" s="146">
        <f>SUMPRODUCT($B$3:$B$7,$C$46:$C$50)</f>
        <v>0</v>
      </c>
      <c r="H22" s="147"/>
      <c r="I22" s="111"/>
    </row>
    <row r="23" spans="3:14" ht="14.4" thickBot="1" x14ac:dyDescent="0.3">
      <c r="C23" s="112"/>
      <c r="D23" s="113" t="s">
        <v>200</v>
      </c>
      <c r="E23" s="152">
        <f>E22*12</f>
        <v>0</v>
      </c>
      <c r="F23" s="152"/>
      <c r="G23" s="153">
        <f>G22*12</f>
        <v>0</v>
      </c>
      <c r="H23" s="154"/>
      <c r="I23" s="159"/>
    </row>
    <row r="24" spans="3:14" x14ac:dyDescent="0.25">
      <c r="C24" s="105" t="s">
        <v>202</v>
      </c>
      <c r="D24" s="86"/>
      <c r="E24" s="155">
        <f>$G$6*E23</f>
        <v>0</v>
      </c>
      <c r="F24" s="155"/>
      <c r="G24" s="156">
        <f>$G$6*G23</f>
        <v>0</v>
      </c>
      <c r="H24" s="157"/>
      <c r="I24" s="159"/>
    </row>
    <row r="25" spans="3:14" x14ac:dyDescent="0.25">
      <c r="C25" s="92"/>
      <c r="H25" s="104"/>
      <c r="I25" s="159"/>
    </row>
    <row r="26" spans="3:14" x14ac:dyDescent="0.25">
      <c r="C26" s="92"/>
      <c r="E26" s="86" t="s">
        <v>204</v>
      </c>
      <c r="F26" s="86"/>
      <c r="H26" s="104"/>
      <c r="I26" s="159"/>
    </row>
    <row r="27" spans="3:14" x14ac:dyDescent="0.25">
      <c r="C27" s="107"/>
      <c r="D27" s="108"/>
      <c r="E27" s="93" t="s">
        <v>198</v>
      </c>
      <c r="F27" s="93"/>
      <c r="G27" s="93" t="s">
        <v>197</v>
      </c>
      <c r="H27" s="94"/>
      <c r="I27" s="159"/>
    </row>
    <row r="28" spans="3:14" ht="14.4" thickBot="1" x14ac:dyDescent="0.3">
      <c r="C28" s="114"/>
      <c r="D28" s="115" t="s">
        <v>200</v>
      </c>
      <c r="E28" s="160">
        <f>$G$7*(H46+H47)/1000</f>
        <v>0</v>
      </c>
      <c r="F28" s="160"/>
      <c r="G28" s="160">
        <f>$G$7*(I46+I47)/1000</f>
        <v>0</v>
      </c>
      <c r="H28" s="161"/>
      <c r="I28" s="159"/>
    </row>
    <row r="29" spans="3:14" x14ac:dyDescent="0.25">
      <c r="C29" s="105" t="s">
        <v>202</v>
      </c>
      <c r="D29" s="86"/>
      <c r="E29" s="155">
        <f>$G$6*E28</f>
        <v>0</v>
      </c>
      <c r="F29" s="155"/>
      <c r="G29" s="155">
        <f>$G$6*G28</f>
        <v>0</v>
      </c>
      <c r="H29" s="162"/>
      <c r="I29" s="159"/>
    </row>
    <row r="30" spans="3:14" x14ac:dyDescent="0.25">
      <c r="C30" s="107"/>
      <c r="D30" s="108"/>
      <c r="E30" s="163"/>
      <c r="F30" s="163"/>
      <c r="G30" s="163"/>
      <c r="H30" s="164"/>
      <c r="I30" s="116"/>
      <c r="J30" s="117"/>
      <c r="K30" s="165"/>
      <c r="L30" s="165"/>
      <c r="M30" s="117"/>
      <c r="N30" s="165"/>
    </row>
    <row r="31" spans="3:14" x14ac:dyDescent="0.25">
      <c r="C31" s="107"/>
      <c r="D31" s="108"/>
      <c r="E31" s="93" t="s">
        <v>198</v>
      </c>
      <c r="F31" s="93"/>
      <c r="G31" s="93" t="s">
        <v>197</v>
      </c>
      <c r="H31" s="94"/>
      <c r="I31" s="116"/>
      <c r="J31" s="117"/>
      <c r="K31" s="165"/>
      <c r="L31" s="165"/>
      <c r="M31" s="117"/>
      <c r="N31" s="165"/>
    </row>
    <row r="32" spans="3:14" ht="15.6" thickBot="1" x14ac:dyDescent="0.3">
      <c r="C32" s="118" t="s">
        <v>210</v>
      </c>
      <c r="D32" s="119"/>
      <c r="E32" s="166">
        <f>E18+E24+E29</f>
        <v>0</v>
      </c>
      <c r="F32" s="166"/>
      <c r="G32" s="166">
        <f>G18+G24+G29</f>
        <v>0</v>
      </c>
      <c r="H32" s="167"/>
      <c r="I32" s="116"/>
      <c r="J32" s="117"/>
      <c r="K32" s="148"/>
      <c r="L32" s="165"/>
      <c r="M32" s="117"/>
      <c r="N32" s="148"/>
    </row>
    <row r="33" spans="1:14" x14ac:dyDescent="0.25">
      <c r="H33" s="120"/>
      <c r="I33" s="116"/>
      <c r="J33" s="117"/>
      <c r="K33" s="165"/>
      <c r="L33" s="165"/>
      <c r="M33" s="117"/>
      <c r="N33" s="165"/>
    </row>
    <row r="35" spans="1:14" ht="14.4" thickBot="1" x14ac:dyDescent="0.3">
      <c r="B35" s="121" t="s">
        <v>211</v>
      </c>
      <c r="C35" s="121"/>
      <c r="D35" s="121"/>
      <c r="E35" s="121"/>
      <c r="F35" s="121"/>
      <c r="G35" s="121"/>
      <c r="H35" s="121"/>
      <c r="I35" s="121"/>
    </row>
    <row r="36" spans="1:14" x14ac:dyDescent="0.25">
      <c r="B36" s="122" t="s">
        <v>181</v>
      </c>
      <c r="C36" s="123"/>
      <c r="D36" s="122" t="s">
        <v>182</v>
      </c>
      <c r="E36" s="123"/>
      <c r="F36" s="89" t="s">
        <v>183</v>
      </c>
      <c r="G36" s="91"/>
      <c r="H36" s="89" t="s">
        <v>205</v>
      </c>
      <c r="I36" s="91"/>
    </row>
    <row r="37" spans="1:14" ht="27.6" x14ac:dyDescent="0.25">
      <c r="A37" s="108" t="s">
        <v>180</v>
      </c>
      <c r="B37" s="124" t="s">
        <v>198</v>
      </c>
      <c r="C37" s="125" t="s">
        <v>194</v>
      </c>
      <c r="D37" s="124" t="s">
        <v>198</v>
      </c>
      <c r="E37" s="125" t="s">
        <v>194</v>
      </c>
      <c r="F37" s="124" t="s">
        <v>198</v>
      </c>
      <c r="G37" s="125" t="s">
        <v>194</v>
      </c>
      <c r="H37" s="124" t="s">
        <v>198</v>
      </c>
      <c r="I37" s="125" t="s">
        <v>194</v>
      </c>
    </row>
    <row r="38" spans="1:14" x14ac:dyDescent="0.25">
      <c r="A38" s="126" t="s">
        <v>168</v>
      </c>
      <c r="B38" s="127">
        <f>VLOOKUP(A3,Fees!$A$27:$D$31,HLOOKUP('Cost Comparison R1 '!$G$5,Fees!$A$25:$D$26,2,FALSE),FALSE)</f>
        <v>2331</v>
      </c>
      <c r="C38" s="128">
        <v>0</v>
      </c>
      <c r="D38" s="127">
        <f>VLOOKUP(A3,Fees!$A$11:$B$15,2,FALSE)</f>
        <v>3050</v>
      </c>
      <c r="E38" s="128">
        <v>0</v>
      </c>
      <c r="F38" s="127">
        <f>VLOOKUP(A3,Fees!$A$18:$B$22,2,FALSE)</f>
        <v>360</v>
      </c>
      <c r="G38" s="128">
        <v>0</v>
      </c>
      <c r="H38" s="127">
        <f>Fees!B36</f>
        <v>80</v>
      </c>
      <c r="I38" s="128">
        <v>0</v>
      </c>
    </row>
    <row r="39" spans="1:14" x14ac:dyDescent="0.25">
      <c r="A39" s="126" t="s">
        <v>169</v>
      </c>
      <c r="B39" s="127">
        <f>VLOOKUP(A4,Fees!$A$27:$D$31,HLOOKUP('Cost Comparison R1 '!$G$5,Fees!$A$25:$D$26,2,FALSE),FALSE)</f>
        <v>3497</v>
      </c>
      <c r="C39" s="128">
        <v>0</v>
      </c>
      <c r="D39" s="127">
        <f>VLOOKUP(A4,Fees!$A$11:$B$15,2,FALSE)</f>
        <v>4575</v>
      </c>
      <c r="E39" s="128">
        <v>0</v>
      </c>
      <c r="F39" s="127">
        <f>VLOOKUP(A4,Fees!$A$18:$B$22,2,FALSE)</f>
        <v>400</v>
      </c>
      <c r="G39" s="128">
        <v>0</v>
      </c>
      <c r="H39" s="127">
        <f>H38</f>
        <v>80</v>
      </c>
      <c r="I39" s="128">
        <v>0</v>
      </c>
    </row>
    <row r="40" spans="1:14" x14ac:dyDescent="0.25">
      <c r="A40" s="126" t="s">
        <v>170</v>
      </c>
      <c r="B40" s="127">
        <f>VLOOKUP(A5,Fees!$A$27:$D$31,HLOOKUP('Cost Comparison R1 '!$G$5,Fees!$A$25:$D$26,2,FALSE),FALSE)</f>
        <v>5828</v>
      </c>
      <c r="C40" s="128">
        <v>0</v>
      </c>
      <c r="D40" s="127">
        <f>VLOOKUP(A5,Fees!$A$11:$B$15,2,FALSE)</f>
        <v>7626</v>
      </c>
      <c r="E40" s="128">
        <v>0</v>
      </c>
      <c r="F40" s="127">
        <f>VLOOKUP(A5,Fees!$A$18:$B$22,2,FALSE)</f>
        <v>460</v>
      </c>
      <c r="G40" s="128">
        <v>0</v>
      </c>
      <c r="H40" s="127">
        <f t="shared" ref="H40:H42" si="0">H39</f>
        <v>80</v>
      </c>
      <c r="I40" s="128">
        <v>0</v>
      </c>
    </row>
    <row r="41" spans="1:14" x14ac:dyDescent="0.25">
      <c r="A41" s="126" t="s">
        <v>171</v>
      </c>
      <c r="B41" s="127">
        <f>VLOOKUP(A6,Fees!$A$27:$D$31,HLOOKUP('Cost Comparison R1 '!$G$5,Fees!$A$25:$D$26,2,FALSE),FALSE)</f>
        <v>11656</v>
      </c>
      <c r="C41" s="128">
        <v>0</v>
      </c>
      <c r="D41" s="127">
        <f>VLOOKUP(A6,Fees!$A$11:$B$15,2,FALSE)</f>
        <v>15251</v>
      </c>
      <c r="E41" s="128">
        <v>0</v>
      </c>
      <c r="F41" s="127">
        <f>VLOOKUP(A6,Fees!$A$18:$B$22,2,FALSE)</f>
        <v>920</v>
      </c>
      <c r="G41" s="128">
        <v>0</v>
      </c>
      <c r="H41" s="127">
        <f t="shared" si="0"/>
        <v>80</v>
      </c>
      <c r="I41" s="128">
        <v>0</v>
      </c>
    </row>
    <row r="42" spans="1:14" ht="14.4" thickBot="1" x14ac:dyDescent="0.3">
      <c r="A42" s="129" t="s">
        <v>172</v>
      </c>
      <c r="B42" s="130">
        <f>VLOOKUP(A7,Fees!$A$27:$D$31,HLOOKUP('Cost Comparison R1 '!$G$5,Fees!$A$25:$D$26,2,FALSE),FALSE)</f>
        <v>18650</v>
      </c>
      <c r="C42" s="131">
        <v>0</v>
      </c>
      <c r="D42" s="130">
        <f>VLOOKUP(A7,Fees!$A$11:$B$15,2,FALSE)</f>
        <v>24402</v>
      </c>
      <c r="E42" s="131">
        <v>0</v>
      </c>
      <c r="F42" s="130">
        <f>VLOOKUP(A7,Fees!$A$18:$B$22,2,FALSE)</f>
        <v>1840</v>
      </c>
      <c r="G42" s="131">
        <v>0</v>
      </c>
      <c r="H42" s="130">
        <f t="shared" si="0"/>
        <v>80</v>
      </c>
      <c r="I42" s="131">
        <v>0</v>
      </c>
    </row>
    <row r="43" spans="1:14" ht="14.4" thickBot="1" x14ac:dyDescent="0.3"/>
    <row r="44" spans="1:14" ht="28.5" customHeight="1" x14ac:dyDescent="0.25">
      <c r="B44" s="132" t="s">
        <v>196</v>
      </c>
      <c r="C44" s="133"/>
      <c r="E44" s="134"/>
      <c r="H44" s="122" t="s">
        <v>206</v>
      </c>
      <c r="I44" s="123"/>
    </row>
    <row r="45" spans="1:14" ht="27.6" x14ac:dyDescent="0.25">
      <c r="A45" s="108" t="s">
        <v>180</v>
      </c>
      <c r="B45" s="124" t="s">
        <v>198</v>
      </c>
      <c r="C45" s="125" t="s">
        <v>194</v>
      </c>
      <c r="H45" s="124" t="s">
        <v>198</v>
      </c>
      <c r="I45" s="125" t="s">
        <v>194</v>
      </c>
    </row>
    <row r="46" spans="1:14" x14ac:dyDescent="0.25">
      <c r="A46" s="126" t="s">
        <v>168</v>
      </c>
      <c r="B46" s="135">
        <f>Fees!B4</f>
        <v>17.77</v>
      </c>
      <c r="C46" s="128">
        <v>0</v>
      </c>
      <c r="E46" s="83" t="s">
        <v>207</v>
      </c>
      <c r="F46" s="83"/>
      <c r="G46" s="83"/>
      <c r="H46" s="136">
        <f>Fees!B35</f>
        <v>1.26</v>
      </c>
      <c r="I46" s="137">
        <v>0</v>
      </c>
    </row>
    <row r="47" spans="1:14" ht="14.4" thickBot="1" x14ac:dyDescent="0.3">
      <c r="A47" s="126" t="s">
        <v>169</v>
      </c>
      <c r="B47" s="135">
        <f>Fees!B5</f>
        <v>18.579999999999998</v>
      </c>
      <c r="C47" s="128">
        <v>0</v>
      </c>
      <c r="E47" s="83" t="s">
        <v>208</v>
      </c>
      <c r="F47" s="83"/>
      <c r="G47" s="83"/>
      <c r="H47" s="138">
        <f>Fees!B34</f>
        <v>4.41</v>
      </c>
      <c r="I47" s="139">
        <v>0.76</v>
      </c>
    </row>
    <row r="48" spans="1:14" x14ac:dyDescent="0.25">
      <c r="A48" s="126" t="s">
        <v>170</v>
      </c>
      <c r="B48" s="135">
        <f>Fees!B6</f>
        <v>19.8</v>
      </c>
      <c r="C48" s="128">
        <v>0</v>
      </c>
      <c r="F48" s="140"/>
    </row>
    <row r="49" spans="1:3" x14ac:dyDescent="0.25">
      <c r="A49" s="126" t="s">
        <v>171</v>
      </c>
      <c r="B49" s="135">
        <f>Fees!B7</f>
        <v>29.13</v>
      </c>
      <c r="C49" s="128">
        <v>0</v>
      </c>
    </row>
    <row r="50" spans="1:3" ht="14.4" thickBot="1" x14ac:dyDescent="0.3">
      <c r="A50" s="129" t="s">
        <v>172</v>
      </c>
      <c r="B50" s="141">
        <f>Fees!B8</f>
        <v>47.8</v>
      </c>
      <c r="C50" s="131">
        <v>0</v>
      </c>
    </row>
  </sheetData>
  <sheetProtection algorithmName="SHA-512" hashValue="AkGqH4pWvu4qc2dgO1D/Vg9vRaaTsJdw/z9rDOJceLWWAklUNz5+0vr5ar+0un4bwG40vUfSPx9nPInazea3wg==" saltValue="gHojDrb9+NZOPSNOUngWdQ==" spinCount="100000" sheet="1" selectLockedCells="1"/>
  <mergeCells count="56">
    <mergeCell ref="E8:F8"/>
    <mergeCell ref="E26:F26"/>
    <mergeCell ref="B36:C36"/>
    <mergeCell ref="D36:E36"/>
    <mergeCell ref="G14:H14"/>
    <mergeCell ref="G15:H15"/>
    <mergeCell ref="G22:H22"/>
    <mergeCell ref="G23:H23"/>
    <mergeCell ref="E46:G46"/>
    <mergeCell ref="E47:G47"/>
    <mergeCell ref="C29:D29"/>
    <mergeCell ref="E14:F14"/>
    <mergeCell ref="E13:F13"/>
    <mergeCell ref="E15:F15"/>
    <mergeCell ref="E16:F16"/>
    <mergeCell ref="E17:F17"/>
    <mergeCell ref="G13:H13"/>
    <mergeCell ref="F36:G36"/>
    <mergeCell ref="H36:I36"/>
    <mergeCell ref="B44:C44"/>
    <mergeCell ref="H44:I44"/>
    <mergeCell ref="C14:D14"/>
    <mergeCell ref="C15:D15"/>
    <mergeCell ref="C16:D16"/>
    <mergeCell ref="D2:F2"/>
    <mergeCell ref="E29:F29"/>
    <mergeCell ref="G29:H29"/>
    <mergeCell ref="C32:D32"/>
    <mergeCell ref="E32:F32"/>
    <mergeCell ref="G32:H32"/>
    <mergeCell ref="E31:F31"/>
    <mergeCell ref="G31:H31"/>
    <mergeCell ref="G24:H24"/>
    <mergeCell ref="E21:F21"/>
    <mergeCell ref="G21:H21"/>
    <mergeCell ref="E27:F27"/>
    <mergeCell ref="G27:H27"/>
    <mergeCell ref="E28:F28"/>
    <mergeCell ref="G28:H28"/>
    <mergeCell ref="E18:F18"/>
    <mergeCell ref="B35:I35"/>
    <mergeCell ref="C10:H11"/>
    <mergeCell ref="D5:F5"/>
    <mergeCell ref="D6:F6"/>
    <mergeCell ref="D7:F7"/>
    <mergeCell ref="G16:H16"/>
    <mergeCell ref="G17:H17"/>
    <mergeCell ref="G18:H18"/>
    <mergeCell ref="C12:H12"/>
    <mergeCell ref="C17:D17"/>
    <mergeCell ref="C18:D18"/>
    <mergeCell ref="C24:D24"/>
    <mergeCell ref="C20:H20"/>
    <mergeCell ref="E22:F22"/>
    <mergeCell ref="E23:F23"/>
    <mergeCell ref="E24:F24"/>
  </mergeCells>
  <conditionalFormatting sqref="A1:XFD1048576">
    <cfRule type="expression" dxfId="1" priority="1">
      <formula>CELL("protect",A1)=0</formula>
    </cfRule>
  </conditionalFormatting>
  <pageMargins left="0.7" right="0.7" top="0.75" bottom="0.75" header="0.3" footer="0.3"/>
  <pageSetup scale="75" orientation="portrait" verticalDpi="1200" r:id="rId1"/>
  <headerFooter>
    <oddHeader>&amp;C&amp;"Century Gothic,Bold"&amp;12COST COMPARISON</oddHeader>
    <oddFooter>&amp;L&amp;F
Printed: &amp;D &amp;T&amp;CMarana Subdivision Demand Calculator
Cost Comparison
&amp;RPage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4" workbookViewId="0">
      <selection activeCell="E26" sqref="E26"/>
    </sheetView>
    <sheetView view="pageLayout" zoomScaleNormal="100" workbookViewId="1">
      <selection activeCell="I32" sqref="I32"/>
    </sheetView>
  </sheetViews>
  <sheetFormatPr defaultColWidth="9.109375" defaultRowHeight="15" x14ac:dyDescent="0.25"/>
  <cols>
    <col min="1" max="1" width="28" style="2" customWidth="1"/>
    <col min="2" max="2" width="21.109375" style="2" customWidth="1"/>
    <col min="3" max="3" width="21.5546875" style="2" bestFit="1" customWidth="1"/>
    <col min="4" max="4" width="17.33203125" style="2" bestFit="1" customWidth="1"/>
    <col min="5" max="5" width="21.44140625" style="2" bestFit="1" customWidth="1"/>
    <col min="6" max="6" width="12.6640625" style="2" bestFit="1" customWidth="1"/>
    <col min="7" max="7" width="22" style="2" bestFit="1" customWidth="1"/>
    <col min="8" max="8" width="10.109375" style="2" bestFit="1" customWidth="1"/>
    <col min="9" max="9" width="26.88671875" style="2" bestFit="1" customWidth="1"/>
    <col min="10" max="10" width="21.44140625" style="2" bestFit="1" customWidth="1"/>
    <col min="11" max="11" width="18.44140625" style="2" bestFit="1" customWidth="1"/>
    <col min="12" max="12" width="17.33203125" style="2" bestFit="1" customWidth="1"/>
    <col min="13" max="13" width="12.109375" style="2" bestFit="1" customWidth="1"/>
    <col min="14" max="16384" width="9.109375" style="2"/>
  </cols>
  <sheetData>
    <row r="1" spans="1:3" x14ac:dyDescent="0.25">
      <c r="A1" s="21" t="s">
        <v>185</v>
      </c>
      <c r="B1" s="22"/>
      <c r="C1" s="168">
        <v>44721</v>
      </c>
    </row>
    <row r="2" spans="1:3" ht="15.6" thickBot="1" x14ac:dyDescent="0.3"/>
    <row r="3" spans="1:3" ht="15.6" thickBot="1" x14ac:dyDescent="0.3">
      <c r="A3" s="12" t="s">
        <v>186</v>
      </c>
      <c r="B3" s="8" t="s">
        <v>173</v>
      </c>
    </row>
    <row r="4" spans="1:3" x14ac:dyDescent="0.25">
      <c r="A4" s="9" t="s">
        <v>168</v>
      </c>
      <c r="B4" s="13">
        <v>17.77</v>
      </c>
    </row>
    <row r="5" spans="1:3" x14ac:dyDescent="0.25">
      <c r="A5" s="9" t="s">
        <v>169</v>
      </c>
      <c r="B5" s="13">
        <v>18.579999999999998</v>
      </c>
    </row>
    <row r="6" spans="1:3" x14ac:dyDescent="0.25">
      <c r="A6" s="9" t="s">
        <v>170</v>
      </c>
      <c r="B6" s="13">
        <v>19.8</v>
      </c>
    </row>
    <row r="7" spans="1:3" x14ac:dyDescent="0.25">
      <c r="A7" s="10" t="s">
        <v>171</v>
      </c>
      <c r="B7" s="13">
        <v>29.13</v>
      </c>
    </row>
    <row r="8" spans="1:3" ht="15.6" thickBot="1" x14ac:dyDescent="0.3">
      <c r="A8" s="11" t="s">
        <v>172</v>
      </c>
      <c r="B8" s="14">
        <v>47.8</v>
      </c>
    </row>
    <row r="9" spans="1:3" ht="15.6" thickBot="1" x14ac:dyDescent="0.3"/>
    <row r="10" spans="1:3" ht="15.6" thickBot="1" x14ac:dyDescent="0.3">
      <c r="A10" s="3" t="s">
        <v>155</v>
      </c>
      <c r="B10" s="5" t="s">
        <v>174</v>
      </c>
    </row>
    <row r="11" spans="1:3" x14ac:dyDescent="0.25">
      <c r="A11" s="9" t="s">
        <v>168</v>
      </c>
      <c r="B11" s="17">
        <v>3050</v>
      </c>
    </row>
    <row r="12" spans="1:3" x14ac:dyDescent="0.25">
      <c r="A12" s="9" t="s">
        <v>169</v>
      </c>
      <c r="B12" s="17">
        <v>4575</v>
      </c>
    </row>
    <row r="13" spans="1:3" x14ac:dyDescent="0.25">
      <c r="A13" s="9" t="s">
        <v>170</v>
      </c>
      <c r="B13" s="17">
        <v>7626</v>
      </c>
    </row>
    <row r="14" spans="1:3" x14ac:dyDescent="0.25">
      <c r="A14" s="10" t="s">
        <v>171</v>
      </c>
      <c r="B14" s="17">
        <v>15251</v>
      </c>
    </row>
    <row r="15" spans="1:3" ht="15.6" thickBot="1" x14ac:dyDescent="0.3">
      <c r="A15" s="11" t="s">
        <v>172</v>
      </c>
      <c r="B15" s="18">
        <v>24402</v>
      </c>
    </row>
    <row r="16" spans="1:3" ht="15.6" thickBot="1" x14ac:dyDescent="0.3"/>
    <row r="17" spans="1:4" ht="15.6" thickBot="1" x14ac:dyDescent="0.3">
      <c r="A17" s="3" t="s">
        <v>156</v>
      </c>
      <c r="B17" s="5" t="s">
        <v>174</v>
      </c>
    </row>
    <row r="18" spans="1:4" x14ac:dyDescent="0.25">
      <c r="A18" s="9" t="s">
        <v>168</v>
      </c>
      <c r="B18" s="17">
        <v>360</v>
      </c>
    </row>
    <row r="19" spans="1:4" x14ac:dyDescent="0.25">
      <c r="A19" s="9" t="s">
        <v>169</v>
      </c>
      <c r="B19" s="17">
        <v>400</v>
      </c>
    </row>
    <row r="20" spans="1:4" x14ac:dyDescent="0.25">
      <c r="A20" s="9" t="s">
        <v>170</v>
      </c>
      <c r="B20" s="17">
        <v>460</v>
      </c>
    </row>
    <row r="21" spans="1:4" x14ac:dyDescent="0.25">
      <c r="A21" s="10" t="s">
        <v>171</v>
      </c>
      <c r="B21" s="17">
        <v>920</v>
      </c>
    </row>
    <row r="22" spans="1:4" ht="15.6" thickBot="1" x14ac:dyDescent="0.3">
      <c r="A22" s="11" t="s">
        <v>172</v>
      </c>
      <c r="B22" s="18">
        <v>1840</v>
      </c>
    </row>
    <row r="24" spans="1:4" ht="15.6" thickBot="1" x14ac:dyDescent="0.3"/>
    <row r="25" spans="1:4" ht="15.6" thickBot="1" x14ac:dyDescent="0.3">
      <c r="A25" s="3" t="s">
        <v>154</v>
      </c>
      <c r="B25" s="4" t="s">
        <v>165</v>
      </c>
      <c r="C25" s="4" t="s">
        <v>166</v>
      </c>
      <c r="D25" s="5" t="s">
        <v>167</v>
      </c>
    </row>
    <row r="26" spans="1:4" ht="15.6" thickBot="1" x14ac:dyDescent="0.3">
      <c r="A26" s="3" t="s">
        <v>175</v>
      </c>
      <c r="B26" s="6">
        <v>2</v>
      </c>
      <c r="C26" s="6">
        <v>3</v>
      </c>
      <c r="D26" s="7">
        <v>4</v>
      </c>
    </row>
    <row r="27" spans="1:4" x14ac:dyDescent="0.25">
      <c r="A27" s="9" t="s">
        <v>168</v>
      </c>
      <c r="B27" s="17">
        <v>838</v>
      </c>
      <c r="C27" s="17">
        <v>2740</v>
      </c>
      <c r="D27" s="17">
        <v>2331</v>
      </c>
    </row>
    <row r="28" spans="1:4" x14ac:dyDescent="0.25">
      <c r="A28" s="9" t="s">
        <v>169</v>
      </c>
      <c r="B28" s="17">
        <v>1257</v>
      </c>
      <c r="C28" s="17">
        <v>4110</v>
      </c>
      <c r="D28" s="17">
        <v>3497</v>
      </c>
    </row>
    <row r="29" spans="1:4" x14ac:dyDescent="0.25">
      <c r="A29" s="9" t="s">
        <v>170</v>
      </c>
      <c r="B29" s="17">
        <v>2095</v>
      </c>
      <c r="C29" s="17">
        <v>6850</v>
      </c>
      <c r="D29" s="17">
        <v>5828</v>
      </c>
    </row>
    <row r="30" spans="1:4" x14ac:dyDescent="0.25">
      <c r="A30" s="10" t="s">
        <v>171</v>
      </c>
      <c r="B30" s="17">
        <v>4189</v>
      </c>
      <c r="C30" s="17">
        <v>13700</v>
      </c>
      <c r="D30" s="17">
        <v>11656</v>
      </c>
    </row>
    <row r="31" spans="1:4" ht="15.6" thickBot="1" x14ac:dyDescent="0.3">
      <c r="A31" s="11" t="s">
        <v>172</v>
      </c>
      <c r="B31" s="18">
        <v>6703</v>
      </c>
      <c r="C31" s="18">
        <v>21920</v>
      </c>
      <c r="D31" s="18">
        <v>18650</v>
      </c>
    </row>
    <row r="34" spans="1:3" ht="15.6" thickBot="1" x14ac:dyDescent="0.3">
      <c r="A34" s="2" t="s">
        <v>187</v>
      </c>
      <c r="B34" s="14">
        <v>4.41</v>
      </c>
      <c r="C34" s="2" t="s">
        <v>188</v>
      </c>
    </row>
    <row r="35" spans="1:3" ht="36" customHeight="1" thickBot="1" x14ac:dyDescent="0.3">
      <c r="A35" s="15" t="s">
        <v>189</v>
      </c>
      <c r="B35" s="16">
        <v>1.26</v>
      </c>
      <c r="C35" s="2" t="s">
        <v>188</v>
      </c>
    </row>
    <row r="36" spans="1:3" ht="15.6" thickBot="1" x14ac:dyDescent="0.3">
      <c r="A36" s="2" t="s">
        <v>190</v>
      </c>
      <c r="B36" s="16">
        <v>80</v>
      </c>
      <c r="C36" s="2" t="s">
        <v>191</v>
      </c>
    </row>
  </sheetData>
  <sheetProtection algorithmName="SHA-512" hashValue="5oIxTTJqu+BH7dNLpMmtWgYDg+k0VwpffA6+vDfoctaD2YrEEbezixJjN5X1t8Z/JM4oQKeCA4135AjwxmmiBg==" saltValue="vpUcVnlPZJdIU9bpw/VLbQ==" spinCount="100000" sheet="1" objects="1" scenarios="1" selectLockedCells="1"/>
  <mergeCells count="1">
    <mergeCell ref="A1:B1"/>
  </mergeCells>
  <dataValidations disablePrompts="1" count="2">
    <dataValidation type="list" allowBlank="1" showInputMessage="1" showErrorMessage="1" sqref="I10">
      <formula1>$A$4:$A$8</formula1>
    </dataValidation>
    <dataValidation type="list" allowBlank="1" showInputMessage="1" showErrorMessage="1" sqref="J10">
      <formula1>$B$25:$D$25</formula1>
    </dataValidation>
  </dataValidation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INFO and ASSUMPTIONS</vt:lpstr>
      <vt:lpstr>PROJECT SITE INFORMATION</vt:lpstr>
      <vt:lpstr>PROJECT DEMAND CALCULATOR</vt:lpstr>
      <vt:lpstr>Cost Comparison R1 </vt:lpstr>
      <vt:lpstr>Fees</vt:lpstr>
      <vt:lpstr>'PROJECT DEMAND CALCULATOR'!Print_Area</vt:lpstr>
      <vt:lpstr>'PROJECT SITE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2020-11-03T17:35:57Z</dcterms:created>
  <dcterms:modified xsi:type="dcterms:W3CDTF">2022-06-24T23:09:44Z</dcterms:modified>
</cp:coreProperties>
</file>